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vsrv44\profiles$\KO\Desktop\"/>
    </mc:Choice>
  </mc:AlternateContent>
  <bookViews>
    <workbookView xWindow="0" yWindow="0" windowWidth="28800" windowHeight="11610"/>
  </bookViews>
  <sheets>
    <sheet name="Burdekin DS" sheetId="13" r:id="rId1"/>
    <sheet name="Dawson" sheetId="11" r:id="rId2"/>
    <sheet name="Bundaberg DS" sheetId="10" r:id="rId3"/>
    <sheet name="Barker Barambah" sheetId="9" r:id="rId4"/>
    <sheet name="Lower Mary" sheetId="7" r:id="rId5"/>
    <sheet name="Mareeba DS" sheetId="6" r:id="rId6"/>
    <sheet name="Bowen Broken" sheetId="2" r:id="rId7"/>
    <sheet name="Eton DS" sheetId="4" r:id="rId8"/>
    <sheet name="Three Moon Creek" sheetId="5" r:id="rId9"/>
    <sheet name="Upper Condamine" sheetId="8" r:id="rId10"/>
  </sheets>
  <externalReferences>
    <externalReference r:id="rId11"/>
    <externalReference r:id="rId12"/>
    <externalReference r:id="rId13"/>
  </externalReferences>
  <definedNames>
    <definedName name="DataSite" localSheetId="3">#REF!</definedName>
    <definedName name="DataSite" localSheetId="1">#REF!</definedName>
    <definedName name="DataSite" localSheetId="5">#REF!</definedName>
    <definedName name="DataSite" localSheetId="8">#REF!</definedName>
    <definedName name="DataSite" localSheetId="9">#REF!</definedName>
    <definedName name="DataSite">#REF!</definedName>
    <definedName name="HaughtonPS_Date" localSheetId="3">#REF!</definedName>
    <definedName name="HaughtonPS_Date" localSheetId="6">#REF!</definedName>
    <definedName name="HaughtonPS_Date" localSheetId="2">[1]IsisPS!$B$32:$B$109</definedName>
    <definedName name="HaughtonPS_Date" localSheetId="0">[2]HaughtonPS!$B$32:$B$109</definedName>
    <definedName name="HaughtonPS_Date" localSheetId="1">#REF!</definedName>
    <definedName name="HaughtonPS_Date" localSheetId="7">#REF!</definedName>
    <definedName name="HaughtonPS_Date" localSheetId="4">#REF!</definedName>
    <definedName name="HaughtonPS_Date" localSheetId="5">#REF!</definedName>
    <definedName name="HaughtonPS_Date" localSheetId="8">#REF!</definedName>
    <definedName name="HaughtonPS_Date" localSheetId="9">#REF!</definedName>
    <definedName name="HaughtonPS_Date">#REF!</definedName>
    <definedName name="MILLAROOA_PS" localSheetId="3">#REF!</definedName>
    <definedName name="MILLAROOA_PS" localSheetId="6">#REF!</definedName>
    <definedName name="MILLAROOA_PS" localSheetId="2">#REF!</definedName>
    <definedName name="MILLAROOA_PS" localSheetId="0">'[2] MILLAROO ‘A’ PS'!$B$32:$B$98</definedName>
    <definedName name="MILLAROOA_PS" localSheetId="1">#REF!</definedName>
    <definedName name="MILLAROOA_PS" localSheetId="7">#REF!</definedName>
    <definedName name="MILLAROOA_PS" localSheetId="4">#REF!</definedName>
    <definedName name="MILLAROOA_PS" localSheetId="5">#REF!</definedName>
    <definedName name="MILLAROOA_PS" localSheetId="8">#REF!</definedName>
    <definedName name="MILLAROOA_PS" localSheetId="9">#REF!</definedName>
    <definedName name="MILLAROOA_PS">#REF!</definedName>
    <definedName name="MonthSite" localSheetId="3">#REF!</definedName>
    <definedName name="MonthSite" localSheetId="1">#REF!</definedName>
    <definedName name="MonthSite" localSheetId="5">#REF!</definedName>
    <definedName name="MonthSite" localSheetId="8">#REF!</definedName>
    <definedName name="MonthSite" localSheetId="9">#REF!</definedName>
    <definedName name="MonthSite">#REF!</definedName>
    <definedName name="p">#REF!</definedName>
    <definedName name="YearSite" localSheetId="3">#REF!</definedName>
    <definedName name="YearSite" localSheetId="1">#REF!</definedName>
    <definedName name="YearSite" localSheetId="5">#REF!</definedName>
    <definedName name="YearSite" localSheetId="8">#REF!</definedName>
    <definedName name="YearSite" localSheetId="9">#REF!</definedName>
    <definedName name="YearSite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3" l="1"/>
  <c r="J20" i="13" s="1"/>
  <c r="N11" i="13"/>
  <c r="I10" i="13"/>
  <c r="N10" i="13"/>
  <c r="N9" i="13"/>
  <c r="I8" i="13"/>
  <c r="E13" i="13"/>
  <c r="I7" i="13"/>
  <c r="E19" i="13"/>
  <c r="G13" i="13"/>
  <c r="N7" i="13"/>
  <c r="D13" i="13"/>
  <c r="J21" i="13" l="1"/>
  <c r="K20" i="13"/>
  <c r="K7" i="13"/>
  <c r="F13" i="13"/>
  <c r="F15" i="13" s="1"/>
  <c r="K19" i="13"/>
  <c r="N8" i="13"/>
  <c r="I9" i="13"/>
  <c r="I11" i="13"/>
  <c r="H13" i="13"/>
  <c r="I13" i="13" l="1"/>
  <c r="K8" i="13"/>
  <c r="L7" i="13"/>
  <c r="K21" i="13"/>
  <c r="J22" i="13"/>
  <c r="J10" i="13" l="1"/>
  <c r="D20" i="13"/>
  <c r="J8" i="13"/>
  <c r="J11" i="13"/>
  <c r="J7" i="13"/>
  <c r="J9" i="13"/>
  <c r="K22" i="13"/>
  <c r="J23" i="13"/>
  <c r="K23" i="13" s="1"/>
  <c r="O7" i="13"/>
  <c r="M7" i="13"/>
  <c r="L8" i="13"/>
  <c r="K9" i="13"/>
  <c r="K10" i="13" l="1"/>
  <c r="L9" i="13"/>
  <c r="M8" i="13"/>
  <c r="O8" i="13"/>
  <c r="D21" i="13"/>
  <c r="D22" i="13"/>
  <c r="D23" i="13"/>
  <c r="K11" i="13" l="1"/>
  <c r="L11" i="13" s="1"/>
  <c r="L10" i="13"/>
  <c r="O9" i="13"/>
  <c r="M9" i="13"/>
  <c r="E21" i="13" l="1"/>
  <c r="O11" i="13"/>
  <c r="M11" i="13"/>
  <c r="L22" i="13"/>
  <c r="M22" i="13" s="1"/>
  <c r="L19" i="13"/>
  <c r="M19" i="13" s="1"/>
  <c r="L23" i="13"/>
  <c r="M23" i="13" s="1"/>
  <c r="E20" i="13"/>
  <c r="F20" i="13" s="1"/>
  <c r="L20" i="13"/>
  <c r="M20" i="13" s="1"/>
  <c r="L21" i="13"/>
  <c r="M21" i="13" s="1"/>
  <c r="O10" i="13"/>
  <c r="E23" i="13" s="1"/>
  <c r="M10" i="13"/>
  <c r="F21" i="13" l="1"/>
  <c r="F22" i="13"/>
  <c r="F23" i="13"/>
  <c r="E22" i="13"/>
  <c r="L22" i="8" l="1"/>
  <c r="L21" i="8"/>
  <c r="L20" i="8"/>
  <c r="L19" i="8"/>
  <c r="E19" i="8"/>
  <c r="F19" i="8" s="1"/>
  <c r="L18" i="8"/>
  <c r="J18" i="8"/>
  <c r="J19" i="8" s="1"/>
  <c r="E18" i="8"/>
  <c r="F14" i="8"/>
  <c r="G12" i="8"/>
  <c r="H10" i="8" s="1"/>
  <c r="F12" i="8"/>
  <c r="E12" i="8"/>
  <c r="D12" i="8"/>
  <c r="K11" i="8"/>
  <c r="H11" i="8"/>
  <c r="G11" i="8"/>
  <c r="K10" i="8"/>
  <c r="G10" i="8"/>
  <c r="K9" i="8"/>
  <c r="G9" i="8"/>
  <c r="K8" i="8"/>
  <c r="G8" i="8"/>
  <c r="K7" i="8"/>
  <c r="I7" i="8"/>
  <c r="J7" i="8" s="1"/>
  <c r="L7" i="8" s="1"/>
  <c r="H7" i="8"/>
  <c r="G7" i="8"/>
  <c r="J22" i="5"/>
  <c r="K22" i="5" s="1"/>
  <c r="J21" i="5"/>
  <c r="K21" i="5" s="1"/>
  <c r="J20" i="5"/>
  <c r="K20" i="5" s="1"/>
  <c r="J19" i="5"/>
  <c r="K19" i="5" s="1"/>
  <c r="J18" i="5"/>
  <c r="K18" i="5" s="1"/>
  <c r="E18" i="5"/>
  <c r="F14" i="5"/>
  <c r="G12" i="5"/>
  <c r="H12" i="5" s="1"/>
  <c r="F12" i="5"/>
  <c r="E12" i="5"/>
  <c r="D12" i="5"/>
  <c r="H11" i="5"/>
  <c r="H10" i="5"/>
  <c r="H9" i="5"/>
  <c r="H8" i="5"/>
  <c r="H7" i="5"/>
  <c r="J18" i="4"/>
  <c r="K18" i="4" s="1"/>
  <c r="F12" i="4"/>
  <c r="E12" i="4"/>
  <c r="F14" i="4" s="1"/>
  <c r="D12" i="4"/>
  <c r="G11" i="4"/>
  <c r="H11" i="4" s="1"/>
  <c r="G10" i="4"/>
  <c r="H10" i="4" s="1"/>
  <c r="G9" i="4"/>
  <c r="H9" i="4" s="1"/>
  <c r="G8" i="4"/>
  <c r="H8" i="4" s="1"/>
  <c r="G7" i="4"/>
  <c r="L22" i="2"/>
  <c r="L21" i="2"/>
  <c r="L20" i="2"/>
  <c r="L19" i="2"/>
  <c r="J19" i="2"/>
  <c r="K19" i="2" s="1"/>
  <c r="M19" i="2" s="1"/>
  <c r="E19" i="2"/>
  <c r="F19" i="2" s="1"/>
  <c r="L18" i="2"/>
  <c r="K18" i="2"/>
  <c r="M18" i="2" s="1"/>
  <c r="J18" i="2"/>
  <c r="E18" i="2"/>
  <c r="I7" i="2" s="1"/>
  <c r="F12" i="2"/>
  <c r="E12" i="2"/>
  <c r="F14" i="2" s="1"/>
  <c r="D12" i="2"/>
  <c r="K11" i="2"/>
  <c r="G11" i="2"/>
  <c r="K10" i="2"/>
  <c r="G10" i="2"/>
  <c r="K9" i="2"/>
  <c r="G9" i="2"/>
  <c r="K8" i="2"/>
  <c r="G8" i="2"/>
  <c r="K7" i="2"/>
  <c r="G7" i="2"/>
  <c r="K18" i="6"/>
  <c r="J18" i="6"/>
  <c r="J19" i="6" s="1"/>
  <c r="E18" i="6"/>
  <c r="G12" i="6"/>
  <c r="H12" i="6" s="1"/>
  <c r="F12" i="6"/>
  <c r="E12" i="6"/>
  <c r="F14" i="6" s="1"/>
  <c r="D12" i="6"/>
  <c r="H11" i="6"/>
  <c r="H10" i="6"/>
  <c r="H9" i="6"/>
  <c r="H8" i="6"/>
  <c r="H7" i="6"/>
  <c r="J18" i="7"/>
  <c r="K18" i="7" s="1"/>
  <c r="E18" i="7"/>
  <c r="G12" i="7"/>
  <c r="F12" i="7"/>
  <c r="E12" i="7"/>
  <c r="F14" i="7" s="1"/>
  <c r="D12" i="7"/>
  <c r="H11" i="7"/>
  <c r="H10" i="7"/>
  <c r="H9" i="7"/>
  <c r="H8" i="7"/>
  <c r="H7" i="7"/>
  <c r="L22" i="9"/>
  <c r="L21" i="9"/>
  <c r="L20" i="9"/>
  <c r="L19" i="9"/>
  <c r="F19" i="9"/>
  <c r="E19" i="9"/>
  <c r="L18" i="9"/>
  <c r="J18" i="9"/>
  <c r="J19" i="9" s="1"/>
  <c r="E18" i="9"/>
  <c r="I7" i="9" s="1"/>
  <c r="J7" i="9" s="1"/>
  <c r="L7" i="9" s="1"/>
  <c r="F12" i="9"/>
  <c r="E12" i="9"/>
  <c r="F14" i="9" s="1"/>
  <c r="D12" i="9"/>
  <c r="K11" i="9"/>
  <c r="G11" i="9"/>
  <c r="K10" i="9"/>
  <c r="G10" i="9"/>
  <c r="K9" i="9"/>
  <c r="G9" i="9"/>
  <c r="K8" i="9"/>
  <c r="G8" i="9"/>
  <c r="K7" i="9"/>
  <c r="G7" i="9"/>
  <c r="J18" i="10"/>
  <c r="J19" i="10" s="1"/>
  <c r="E18" i="10"/>
  <c r="G12" i="10"/>
  <c r="H12" i="10" s="1"/>
  <c r="D19" i="10" s="1"/>
  <c r="F12" i="10"/>
  <c r="E12" i="10"/>
  <c r="F14" i="10" s="1"/>
  <c r="D12" i="10"/>
  <c r="H11" i="10"/>
  <c r="H10" i="10"/>
  <c r="H9" i="10"/>
  <c r="H8" i="10"/>
  <c r="H7" i="10"/>
  <c r="J18" i="11"/>
  <c r="J19" i="11" s="1"/>
  <c r="E18" i="11"/>
  <c r="G12" i="11"/>
  <c r="H12" i="11" s="1"/>
  <c r="F12" i="11"/>
  <c r="E12" i="11"/>
  <c r="F14" i="11" s="1"/>
  <c r="D12" i="11"/>
  <c r="H11" i="11"/>
  <c r="H10" i="11"/>
  <c r="H9" i="11"/>
  <c r="H8" i="11"/>
  <c r="H7" i="11"/>
  <c r="D20" i="8" l="1"/>
  <c r="J20" i="8"/>
  <c r="K19" i="8"/>
  <c r="M19" i="8" s="1"/>
  <c r="H9" i="8"/>
  <c r="K18" i="8"/>
  <c r="M18" i="8" s="1"/>
  <c r="D22" i="8"/>
  <c r="D21" i="8"/>
  <c r="H8" i="8"/>
  <c r="I8" i="8"/>
  <c r="D19" i="8"/>
  <c r="I11" i="5"/>
  <c r="I7" i="5"/>
  <c r="I9" i="5"/>
  <c r="D19" i="5"/>
  <c r="I8" i="5"/>
  <c r="I10" i="5"/>
  <c r="J7" i="5"/>
  <c r="G12" i="4"/>
  <c r="H12" i="4" s="1"/>
  <c r="I10" i="4" s="1"/>
  <c r="J11" i="4" s="1"/>
  <c r="H7" i="4"/>
  <c r="H12" i="7"/>
  <c r="K19" i="10"/>
  <c r="J20" i="10"/>
  <c r="K18" i="10"/>
  <c r="K19" i="11"/>
  <c r="J20" i="11"/>
  <c r="K20" i="11" s="1"/>
  <c r="K18" i="11"/>
  <c r="I7" i="11"/>
  <c r="I8" i="11"/>
  <c r="I9" i="11"/>
  <c r="D19" i="11"/>
  <c r="I10" i="11"/>
  <c r="I11" i="11"/>
  <c r="J21" i="11"/>
  <c r="J7" i="11"/>
  <c r="I10" i="10"/>
  <c r="I11" i="10"/>
  <c r="I8" i="10"/>
  <c r="I7" i="10"/>
  <c r="I9" i="10"/>
  <c r="J7" i="10"/>
  <c r="J20" i="9"/>
  <c r="K19" i="9"/>
  <c r="M19" i="9" s="1"/>
  <c r="I8" i="9"/>
  <c r="K18" i="9"/>
  <c r="M18" i="9" s="1"/>
  <c r="G12" i="9"/>
  <c r="I11" i="7"/>
  <c r="I10" i="7"/>
  <c r="I7" i="7"/>
  <c r="I8" i="7"/>
  <c r="I9" i="7"/>
  <c r="D19" i="7"/>
  <c r="J19" i="7"/>
  <c r="J7" i="7"/>
  <c r="K19" i="6"/>
  <c r="J20" i="6"/>
  <c r="I7" i="6"/>
  <c r="I9" i="6"/>
  <c r="I10" i="6"/>
  <c r="I8" i="6"/>
  <c r="D19" i="6"/>
  <c r="I11" i="6"/>
  <c r="J7" i="6"/>
  <c r="J7" i="2"/>
  <c r="L7" i="2" s="1"/>
  <c r="I8" i="2"/>
  <c r="G12" i="2"/>
  <c r="J20" i="2"/>
  <c r="E18" i="4"/>
  <c r="J19" i="4"/>
  <c r="D19" i="4" l="1"/>
  <c r="I8" i="4"/>
  <c r="J9" i="4" s="1"/>
  <c r="L9" i="4" s="1"/>
  <c r="I9" i="4"/>
  <c r="J10" i="4" s="1"/>
  <c r="L10" i="4" s="1"/>
  <c r="I7" i="4"/>
  <c r="I11" i="4"/>
  <c r="K20" i="8"/>
  <c r="M20" i="8" s="1"/>
  <c r="J21" i="8"/>
  <c r="J8" i="8"/>
  <c r="L8" i="8" s="1"/>
  <c r="I9" i="8"/>
  <c r="D20" i="5"/>
  <c r="D21" i="5"/>
  <c r="D22" i="5"/>
  <c r="J8" i="5"/>
  <c r="K7" i="5"/>
  <c r="K20" i="10"/>
  <c r="J21" i="10"/>
  <c r="D22" i="11"/>
  <c r="D21" i="11"/>
  <c r="D20" i="11"/>
  <c r="K7" i="11"/>
  <c r="J8" i="11"/>
  <c r="K21" i="11"/>
  <c r="J22" i="11"/>
  <c r="K22" i="11" s="1"/>
  <c r="J8" i="10"/>
  <c r="K7" i="10"/>
  <c r="D21" i="10"/>
  <c r="D20" i="10"/>
  <c r="D22" i="10"/>
  <c r="H10" i="9"/>
  <c r="H11" i="9"/>
  <c r="H7" i="9"/>
  <c r="H9" i="9"/>
  <c r="D19" i="9"/>
  <c r="H8" i="9"/>
  <c r="J8" i="9"/>
  <c r="L8" i="9" s="1"/>
  <c r="I9" i="9"/>
  <c r="K20" i="9"/>
  <c r="M20" i="9" s="1"/>
  <c r="J21" i="9"/>
  <c r="D20" i="7"/>
  <c r="D21" i="7"/>
  <c r="D22" i="7"/>
  <c r="K19" i="7"/>
  <c r="J20" i="7"/>
  <c r="K7" i="7"/>
  <c r="J8" i="7"/>
  <c r="K20" i="6"/>
  <c r="J21" i="6"/>
  <c r="J8" i="6"/>
  <c r="K7" i="6"/>
  <c r="D20" i="6"/>
  <c r="D21" i="6"/>
  <c r="D22" i="6"/>
  <c r="K20" i="2"/>
  <c r="M20" i="2" s="1"/>
  <c r="J21" i="2"/>
  <c r="J8" i="2"/>
  <c r="L8" i="2" s="1"/>
  <c r="I9" i="2"/>
  <c r="H10" i="2"/>
  <c r="H9" i="2"/>
  <c r="H11" i="2"/>
  <c r="H7" i="2"/>
  <c r="D19" i="2"/>
  <c r="H8" i="2"/>
  <c r="J7" i="4"/>
  <c r="K7" i="4" s="1"/>
  <c r="L11" i="4"/>
  <c r="K11" i="4"/>
  <c r="K19" i="4"/>
  <c r="J20" i="4"/>
  <c r="K10" i="4" l="1"/>
  <c r="D20" i="4"/>
  <c r="J8" i="4"/>
  <c r="L8" i="4" s="1"/>
  <c r="D22" i="4"/>
  <c r="D21" i="4"/>
  <c r="K9" i="4"/>
  <c r="J9" i="8"/>
  <c r="L9" i="8" s="1"/>
  <c r="I10" i="8"/>
  <c r="K21" i="8"/>
  <c r="M21" i="8" s="1"/>
  <c r="J22" i="8"/>
  <c r="K22" i="8" s="1"/>
  <c r="M22" i="8" s="1"/>
  <c r="F22" i="8" s="1"/>
  <c r="K8" i="5"/>
  <c r="J9" i="5"/>
  <c r="L7" i="5"/>
  <c r="J22" i="10"/>
  <c r="K22" i="10" s="1"/>
  <c r="K21" i="10"/>
  <c r="J9" i="11"/>
  <c r="K8" i="11"/>
  <c r="L7" i="11"/>
  <c r="K8" i="10"/>
  <c r="J9" i="10"/>
  <c r="L7" i="10"/>
  <c r="D22" i="9"/>
  <c r="D21" i="9"/>
  <c r="D20" i="9"/>
  <c r="K21" i="9"/>
  <c r="M21" i="9" s="1"/>
  <c r="J22" i="9"/>
  <c r="K22" i="9" s="1"/>
  <c r="M22" i="9" s="1"/>
  <c r="I10" i="9"/>
  <c r="J9" i="9"/>
  <c r="L9" i="9" s="1"/>
  <c r="L7" i="7"/>
  <c r="K20" i="7"/>
  <c r="J21" i="7"/>
  <c r="K8" i="7"/>
  <c r="J9" i="7"/>
  <c r="K8" i="6"/>
  <c r="J9" i="6"/>
  <c r="K21" i="6"/>
  <c r="J22" i="6"/>
  <c r="K22" i="6" s="1"/>
  <c r="L7" i="6"/>
  <c r="I10" i="2"/>
  <c r="J9" i="2"/>
  <c r="L9" i="2" s="1"/>
  <c r="D20" i="2"/>
  <c r="D21" i="2"/>
  <c r="D22" i="2"/>
  <c r="K21" i="2"/>
  <c r="M21" i="2" s="1"/>
  <c r="J22" i="2"/>
  <c r="K22" i="2" s="1"/>
  <c r="M22" i="2" s="1"/>
  <c r="J21" i="4"/>
  <c r="K20" i="4"/>
  <c r="L7" i="4"/>
  <c r="K8" i="4" l="1"/>
  <c r="I11" i="8"/>
  <c r="J11" i="8" s="1"/>
  <c r="L11" i="8" s="1"/>
  <c r="J10" i="8"/>
  <c r="L10" i="8" s="1"/>
  <c r="F21" i="8"/>
  <c r="F20" i="8"/>
  <c r="K9" i="5"/>
  <c r="J10" i="5"/>
  <c r="L8" i="5"/>
  <c r="F21" i="2"/>
  <c r="K9" i="11"/>
  <c r="J10" i="11"/>
  <c r="L8" i="11"/>
  <c r="L8" i="10"/>
  <c r="J10" i="10"/>
  <c r="K9" i="10"/>
  <c r="I11" i="9"/>
  <c r="J11" i="9" s="1"/>
  <c r="L11" i="9" s="1"/>
  <c r="J10" i="9"/>
  <c r="L10" i="9" s="1"/>
  <c r="E22" i="9" s="1"/>
  <c r="F20" i="9"/>
  <c r="E21" i="9"/>
  <c r="F22" i="9"/>
  <c r="F21" i="9"/>
  <c r="L8" i="7"/>
  <c r="K9" i="7"/>
  <c r="J10" i="7"/>
  <c r="J22" i="7"/>
  <c r="K22" i="7" s="1"/>
  <c r="K21" i="7"/>
  <c r="K9" i="6"/>
  <c r="J10" i="6"/>
  <c r="L8" i="6"/>
  <c r="F20" i="2"/>
  <c r="F22" i="2"/>
  <c r="I11" i="2"/>
  <c r="J11" i="2" s="1"/>
  <c r="L11" i="2" s="1"/>
  <c r="J10" i="2"/>
  <c r="L10" i="2" s="1"/>
  <c r="E20" i="2" s="1"/>
  <c r="J22" i="4"/>
  <c r="K22" i="4" s="1"/>
  <c r="K21" i="4"/>
  <c r="E19" i="4"/>
  <c r="F19" i="4" s="1"/>
  <c r="M8" i="4"/>
  <c r="L22" i="4"/>
  <c r="M9" i="4"/>
  <c r="N9" i="4" s="1"/>
  <c r="M10" i="4"/>
  <c r="N10" i="4" s="1"/>
  <c r="M7" i="4"/>
  <c r="N7" i="4" s="1"/>
  <c r="L18" i="4"/>
  <c r="M18" i="4" s="1"/>
  <c r="L21" i="4"/>
  <c r="M11" i="4"/>
  <c r="N11" i="4" s="1"/>
  <c r="L19" i="4"/>
  <c r="M19" i="4" s="1"/>
  <c r="L20" i="4"/>
  <c r="M20" i="4" s="1"/>
  <c r="N8" i="4" l="1"/>
  <c r="E22" i="4" s="1"/>
  <c r="M22" i="4"/>
  <c r="E20" i="8"/>
  <c r="E21" i="8"/>
  <c r="E22" i="8"/>
  <c r="J11" i="5"/>
  <c r="K11" i="5" s="1"/>
  <c r="K10" i="5"/>
  <c r="L9" i="5"/>
  <c r="E20" i="9"/>
  <c r="L9" i="11"/>
  <c r="K10" i="11"/>
  <c r="J11" i="11"/>
  <c r="K11" i="11" s="1"/>
  <c r="K10" i="10"/>
  <c r="J11" i="10"/>
  <c r="K11" i="10" s="1"/>
  <c r="L9" i="10"/>
  <c r="J11" i="7"/>
  <c r="K11" i="7" s="1"/>
  <c r="K10" i="7"/>
  <c r="L9" i="7"/>
  <c r="L9" i="6"/>
  <c r="J11" i="6"/>
  <c r="K11" i="6" s="1"/>
  <c r="K10" i="6"/>
  <c r="E22" i="2"/>
  <c r="E21" i="2"/>
  <c r="E20" i="4"/>
  <c r="M21" i="4"/>
  <c r="E21" i="4" l="1"/>
  <c r="F21" i="4"/>
  <c r="L18" i="5"/>
  <c r="M18" i="5" s="1"/>
  <c r="L10" i="5"/>
  <c r="L11" i="5"/>
  <c r="M10" i="5" s="1"/>
  <c r="N10" i="5" s="1"/>
  <c r="L19" i="5"/>
  <c r="M19" i="5" s="1"/>
  <c r="L10" i="11"/>
  <c r="L11" i="11"/>
  <c r="L21" i="11" s="1"/>
  <c r="M21" i="11" s="1"/>
  <c r="L19" i="10"/>
  <c r="M19" i="10" s="1"/>
  <c r="L11" i="10"/>
  <c r="L10" i="10"/>
  <c r="L21" i="10" s="1"/>
  <c r="M21" i="10" s="1"/>
  <c r="L10" i="7"/>
  <c r="E19" i="7" s="1"/>
  <c r="F19" i="7" s="1"/>
  <c r="L11" i="7"/>
  <c r="L11" i="6"/>
  <c r="M11" i="6" s="1"/>
  <c r="N11" i="6" s="1"/>
  <c r="M10" i="6"/>
  <c r="N10" i="6" s="1"/>
  <c r="L10" i="6"/>
  <c r="M7" i="6"/>
  <c r="N7" i="6" s="1"/>
  <c r="F22" i="4"/>
  <c r="F20" i="4"/>
  <c r="L19" i="7" l="1"/>
  <c r="M19" i="7" s="1"/>
  <c r="L22" i="7"/>
  <c r="M22" i="7" s="1"/>
  <c r="M7" i="7"/>
  <c r="N7" i="7" s="1"/>
  <c r="M11" i="7"/>
  <c r="N11" i="7" s="1"/>
  <c r="M9" i="5"/>
  <c r="N9" i="5" s="1"/>
  <c r="M7" i="5"/>
  <c r="N7" i="5" s="1"/>
  <c r="M8" i="5"/>
  <c r="N8" i="5" s="1"/>
  <c r="M11" i="5"/>
  <c r="N11" i="5" s="1"/>
  <c r="L20" i="5"/>
  <c r="M20" i="5" s="1"/>
  <c r="F22" i="5" s="1"/>
  <c r="L22" i="5"/>
  <c r="M22" i="5" s="1"/>
  <c r="L21" i="5"/>
  <c r="M21" i="5" s="1"/>
  <c r="E19" i="5"/>
  <c r="F19" i="5" s="1"/>
  <c r="M9" i="7"/>
  <c r="N9" i="7" s="1"/>
  <c r="M8" i="7"/>
  <c r="N8" i="7" s="1"/>
  <c r="M10" i="10"/>
  <c r="N10" i="10" s="1"/>
  <c r="L18" i="10"/>
  <c r="M18" i="10" s="1"/>
  <c r="E19" i="10"/>
  <c r="F19" i="10" s="1"/>
  <c r="M10" i="11"/>
  <c r="N10" i="11" s="1"/>
  <c r="M11" i="11"/>
  <c r="N11" i="11" s="1"/>
  <c r="L19" i="11"/>
  <c r="M19" i="11" s="1"/>
  <c r="L18" i="11"/>
  <c r="M18" i="11" s="1"/>
  <c r="L20" i="11"/>
  <c r="M20" i="11" s="1"/>
  <c r="M7" i="11"/>
  <c r="N7" i="11" s="1"/>
  <c r="E19" i="11"/>
  <c r="F19" i="11" s="1"/>
  <c r="M8" i="11"/>
  <c r="N8" i="11" s="1"/>
  <c r="L22" i="11"/>
  <c r="M22" i="11" s="1"/>
  <c r="M9" i="11"/>
  <c r="N9" i="11" s="1"/>
  <c r="M9" i="10"/>
  <c r="N9" i="10" s="1"/>
  <c r="L20" i="10"/>
  <c r="M20" i="10" s="1"/>
  <c r="M8" i="10"/>
  <c r="N8" i="10" s="1"/>
  <c r="M11" i="10"/>
  <c r="N11" i="10" s="1"/>
  <c r="L22" i="10"/>
  <c r="M22" i="10" s="1"/>
  <c r="M7" i="10"/>
  <c r="N7" i="10" s="1"/>
  <c r="L18" i="7"/>
  <c r="M18" i="7" s="1"/>
  <c r="L21" i="7"/>
  <c r="M21" i="7" s="1"/>
  <c r="L20" i="7"/>
  <c r="M20" i="7" s="1"/>
  <c r="M10" i="7"/>
  <c r="N10" i="7" s="1"/>
  <c r="E20" i="7" s="1"/>
  <c r="E19" i="6"/>
  <c r="F19" i="6" s="1"/>
  <c r="L22" i="6"/>
  <c r="M22" i="6" s="1"/>
  <c r="L21" i="6"/>
  <c r="M21" i="6" s="1"/>
  <c r="M8" i="6"/>
  <c r="N8" i="6" s="1"/>
  <c r="L20" i="6"/>
  <c r="M20" i="6" s="1"/>
  <c r="L18" i="6"/>
  <c r="M18" i="6" s="1"/>
  <c r="M9" i="6"/>
  <c r="N9" i="6" s="1"/>
  <c r="L19" i="6"/>
  <c r="M19" i="6" s="1"/>
  <c r="F21" i="5" l="1"/>
  <c r="F20" i="5"/>
  <c r="E21" i="5"/>
  <c r="E22" i="5"/>
  <c r="E20" i="5"/>
  <c r="E21" i="6"/>
  <c r="F21" i="10"/>
  <c r="E20" i="11"/>
  <c r="E21" i="11"/>
  <c r="E22" i="11"/>
  <c r="F20" i="11"/>
  <c r="F21" i="11"/>
  <c r="F22" i="11"/>
  <c r="F22" i="10"/>
  <c r="E20" i="10"/>
  <c r="E21" i="10"/>
  <c r="E22" i="10"/>
  <c r="F20" i="10"/>
  <c r="F22" i="7"/>
  <c r="F20" i="7"/>
  <c r="F21" i="7"/>
  <c r="E21" i="7"/>
  <c r="E22" i="7"/>
  <c r="E20" i="6"/>
  <c r="E22" i="6"/>
  <c r="F21" i="6"/>
  <c r="F20" i="6"/>
  <c r="F22" i="6"/>
</calcChain>
</file>

<file path=xl/comments1.xml><?xml version="1.0" encoding="utf-8"?>
<comments xmlns="http://schemas.openxmlformats.org/spreadsheetml/2006/main">
  <authors>
    <author>Courtney Chester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Courtney Chester:</t>
        </r>
        <r>
          <rPr>
            <sz val="9"/>
            <color indexed="81"/>
            <rFont val="Tahoma"/>
            <family val="2"/>
          </rPr>
          <t xml:space="preserve">
Customer delivered ML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</rPr>
          <t>Courtney Chester:</t>
        </r>
        <r>
          <rPr>
            <sz val="9"/>
            <color indexed="81"/>
            <rFont val="Tahoma"/>
            <family val="2"/>
          </rPr>
          <t xml:space="preserve">
This value is a result of goal seek, setting F21 = 0</t>
        </r>
      </text>
    </comment>
  </commentList>
</comments>
</file>

<file path=xl/comments10.xml><?xml version="1.0" encoding="utf-8"?>
<comments xmlns="http://schemas.openxmlformats.org/spreadsheetml/2006/main">
  <authors>
    <author>Courtney Chester</author>
  </authors>
  <commentList>
    <comment ref="E6" authorId="0" shapeId="0">
      <text>
        <r>
          <rPr>
            <b/>
            <sz val="9"/>
            <color indexed="81"/>
            <rFont val="Tahoma"/>
            <family val="2"/>
          </rPr>
          <t>Courtney Chester:</t>
        </r>
        <r>
          <rPr>
            <sz val="9"/>
            <color indexed="81"/>
            <rFont val="Tahoma"/>
            <family val="2"/>
          </rPr>
          <t xml:space="preserve">
Customer delivered ML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</rPr>
          <t>Courtney Chester:</t>
        </r>
        <r>
          <rPr>
            <sz val="9"/>
            <color indexed="81"/>
            <rFont val="Tahoma"/>
            <family val="2"/>
          </rPr>
          <t xml:space="preserve">
This value is a result of goal seek, setting F21 = 0</t>
        </r>
      </text>
    </comment>
  </commentList>
</comments>
</file>

<file path=xl/comments2.xml><?xml version="1.0" encoding="utf-8"?>
<comments xmlns="http://schemas.openxmlformats.org/spreadsheetml/2006/main">
  <authors>
    <author>Courtney Chester</author>
  </authors>
  <commentList>
    <comment ref="E6" authorId="0" shapeId="0">
      <text>
        <r>
          <rPr>
            <b/>
            <sz val="9"/>
            <color indexed="81"/>
            <rFont val="Tahoma"/>
            <family val="2"/>
          </rPr>
          <t>Courtney Chester:</t>
        </r>
        <r>
          <rPr>
            <sz val="9"/>
            <color indexed="81"/>
            <rFont val="Tahoma"/>
            <family val="2"/>
          </rPr>
          <t xml:space="preserve">
Customer delivered ML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</rPr>
          <t>Courtney Chester:</t>
        </r>
        <r>
          <rPr>
            <sz val="9"/>
            <color indexed="81"/>
            <rFont val="Tahoma"/>
            <family val="2"/>
          </rPr>
          <t xml:space="preserve">
This value is a result of goal seek, setting F21 = 0</t>
        </r>
      </text>
    </comment>
  </commentList>
</comments>
</file>

<file path=xl/comments3.xml><?xml version="1.0" encoding="utf-8"?>
<comments xmlns="http://schemas.openxmlformats.org/spreadsheetml/2006/main">
  <authors>
    <author>Courtney Chester</author>
  </authors>
  <commentList>
    <comment ref="E6" authorId="0" shapeId="0">
      <text>
        <r>
          <rPr>
            <b/>
            <sz val="9"/>
            <color indexed="81"/>
            <rFont val="Tahoma"/>
            <family val="2"/>
          </rPr>
          <t>Courtney Chester:</t>
        </r>
        <r>
          <rPr>
            <sz val="9"/>
            <color indexed="81"/>
            <rFont val="Tahoma"/>
            <family val="2"/>
          </rPr>
          <t xml:space="preserve">
Customer delivered ML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</rPr>
          <t>Courtney Chester:</t>
        </r>
        <r>
          <rPr>
            <sz val="9"/>
            <color indexed="81"/>
            <rFont val="Tahoma"/>
            <family val="2"/>
          </rPr>
          <t xml:space="preserve">
This value is a result of goal seek, setting F21 = 0</t>
        </r>
      </text>
    </comment>
  </commentList>
</comments>
</file>

<file path=xl/comments4.xml><?xml version="1.0" encoding="utf-8"?>
<comments xmlns="http://schemas.openxmlformats.org/spreadsheetml/2006/main">
  <authors>
    <author>Courtney Chester</author>
  </authors>
  <commentList>
    <comment ref="E6" authorId="0" shapeId="0">
      <text>
        <r>
          <rPr>
            <b/>
            <sz val="9"/>
            <color indexed="81"/>
            <rFont val="Tahoma"/>
            <family val="2"/>
          </rPr>
          <t>Courtney Chester:</t>
        </r>
        <r>
          <rPr>
            <sz val="9"/>
            <color indexed="81"/>
            <rFont val="Tahoma"/>
            <family val="2"/>
          </rPr>
          <t xml:space="preserve">
Customer delivered ML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</rPr>
          <t>Courtney Chester:</t>
        </r>
        <r>
          <rPr>
            <sz val="9"/>
            <color indexed="81"/>
            <rFont val="Tahoma"/>
            <family val="2"/>
          </rPr>
          <t xml:space="preserve">
This value is a result of goal seek, setting F21 = 0
After doing Goal Seek, round to two decimal points.
</t>
        </r>
      </text>
    </comment>
  </commentList>
</comments>
</file>

<file path=xl/comments5.xml><?xml version="1.0" encoding="utf-8"?>
<comments xmlns="http://schemas.openxmlformats.org/spreadsheetml/2006/main">
  <authors>
    <author>Courtney Chester</author>
  </authors>
  <commentList>
    <comment ref="E6" authorId="0" shapeId="0">
      <text>
        <r>
          <rPr>
            <b/>
            <sz val="9"/>
            <color indexed="81"/>
            <rFont val="Tahoma"/>
            <family val="2"/>
          </rPr>
          <t>Courtney Chester:</t>
        </r>
        <r>
          <rPr>
            <sz val="9"/>
            <color indexed="81"/>
            <rFont val="Tahoma"/>
            <family val="2"/>
          </rPr>
          <t xml:space="preserve">
Customer delivered ML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</rPr>
          <t>Courtney Chester:</t>
        </r>
        <r>
          <rPr>
            <sz val="9"/>
            <color indexed="81"/>
            <rFont val="Tahoma"/>
            <family val="2"/>
          </rPr>
          <t xml:space="preserve">
This value is a result of goal seek, setting F21 = 0</t>
        </r>
      </text>
    </comment>
  </commentList>
</comments>
</file>

<file path=xl/comments6.xml><?xml version="1.0" encoding="utf-8"?>
<comments xmlns="http://schemas.openxmlformats.org/spreadsheetml/2006/main">
  <authors>
    <author>Courtney Chester</author>
  </authors>
  <commentList>
    <comment ref="E6" authorId="0" shapeId="0">
      <text>
        <r>
          <rPr>
            <b/>
            <sz val="9"/>
            <color indexed="81"/>
            <rFont val="Tahoma"/>
            <family val="2"/>
          </rPr>
          <t>Courtney Chester:</t>
        </r>
        <r>
          <rPr>
            <sz val="9"/>
            <color indexed="81"/>
            <rFont val="Tahoma"/>
            <family val="2"/>
          </rPr>
          <t xml:space="preserve">
Customer delivered ML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</rPr>
          <t>Courtney Chester:</t>
        </r>
        <r>
          <rPr>
            <sz val="9"/>
            <color indexed="81"/>
            <rFont val="Tahoma"/>
            <family val="2"/>
          </rPr>
          <t xml:space="preserve">
This value is a result of goal seek, setting F21 = 0</t>
        </r>
      </text>
    </comment>
  </commentList>
</comments>
</file>

<file path=xl/comments7.xml><?xml version="1.0" encoding="utf-8"?>
<comments xmlns="http://schemas.openxmlformats.org/spreadsheetml/2006/main">
  <authors>
    <author>Courtney Chester</author>
  </authors>
  <commentList>
    <comment ref="E6" authorId="0" shapeId="0">
      <text>
        <r>
          <rPr>
            <b/>
            <sz val="9"/>
            <color indexed="81"/>
            <rFont val="Tahoma"/>
            <family val="2"/>
          </rPr>
          <t>Courtney Chester:</t>
        </r>
        <r>
          <rPr>
            <sz val="9"/>
            <color indexed="81"/>
            <rFont val="Tahoma"/>
            <family val="2"/>
          </rPr>
          <t xml:space="preserve">
Customer delivered ML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</rPr>
          <t>Courtney Chester:</t>
        </r>
        <r>
          <rPr>
            <sz val="9"/>
            <color indexed="81"/>
            <rFont val="Tahoma"/>
            <family val="2"/>
          </rPr>
          <t xml:space="preserve">
This value is a result of goal seek, setting F21 = 0</t>
        </r>
      </text>
    </comment>
  </commentList>
</comments>
</file>

<file path=xl/comments8.xml><?xml version="1.0" encoding="utf-8"?>
<comments xmlns="http://schemas.openxmlformats.org/spreadsheetml/2006/main">
  <authors>
    <author>Courtney Chester</author>
  </authors>
  <commentList>
    <comment ref="E6" authorId="0" shapeId="0">
      <text>
        <r>
          <rPr>
            <b/>
            <sz val="9"/>
            <color indexed="81"/>
            <rFont val="Tahoma"/>
            <family val="2"/>
          </rPr>
          <t>Courtney Chester:</t>
        </r>
        <r>
          <rPr>
            <sz val="9"/>
            <color indexed="81"/>
            <rFont val="Tahoma"/>
            <family val="2"/>
          </rPr>
          <t xml:space="preserve">
Customer delivered ML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</rPr>
          <t>Courtney Chester:</t>
        </r>
        <r>
          <rPr>
            <sz val="9"/>
            <color indexed="81"/>
            <rFont val="Tahoma"/>
            <family val="2"/>
          </rPr>
          <t xml:space="preserve">
This value is a result of goal seek, setting F21 = 0</t>
        </r>
      </text>
    </comment>
  </commentList>
</comments>
</file>

<file path=xl/comments9.xml><?xml version="1.0" encoding="utf-8"?>
<comments xmlns="http://schemas.openxmlformats.org/spreadsheetml/2006/main">
  <authors>
    <author>Courtney Chester</author>
  </authors>
  <commentList>
    <comment ref="E6" authorId="0" shapeId="0">
      <text>
        <r>
          <rPr>
            <b/>
            <sz val="9"/>
            <color indexed="81"/>
            <rFont val="Tahoma"/>
            <family val="2"/>
          </rPr>
          <t>Courtney Chester:</t>
        </r>
        <r>
          <rPr>
            <sz val="9"/>
            <color indexed="81"/>
            <rFont val="Tahoma"/>
            <family val="2"/>
          </rPr>
          <t xml:space="preserve">
Customer delivered ML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</rPr>
          <t>Courtney Chester:</t>
        </r>
        <r>
          <rPr>
            <sz val="9"/>
            <color indexed="81"/>
            <rFont val="Tahoma"/>
            <family val="2"/>
          </rPr>
          <t xml:space="preserve">
This value is a result of goal seek, setting F21 = 0
After doing Goal Seek, round to two decimal points.
</t>
        </r>
      </text>
    </comment>
  </commentList>
</comments>
</file>

<file path=xl/sharedStrings.xml><?xml version="1.0" encoding="utf-8"?>
<sst xmlns="http://schemas.openxmlformats.org/spreadsheetml/2006/main" count="456" uniqueCount="56">
  <si>
    <t>Option 1: Average $/ML, variable charge only</t>
  </si>
  <si>
    <t>Option 2: cost recovery based on historical usage</t>
  </si>
  <si>
    <t>Year</t>
  </si>
  <si>
    <t>kWh</t>
  </si>
  <si>
    <t>Total Cost</t>
  </si>
  <si>
    <t>$/ML</t>
  </si>
  <si>
    <t>Annual over/under recovery</t>
  </si>
  <si>
    <t>Fixed charge</t>
  </si>
  <si>
    <t>Fixed Revenue</t>
  </si>
  <si>
    <t>Variable Revenue</t>
  </si>
  <si>
    <t>Under / over recovery if recovery fixed and variable electricity</t>
  </si>
  <si>
    <t>2013/14</t>
  </si>
  <si>
    <t>2014/15</t>
  </si>
  <si>
    <t>2015/16</t>
  </si>
  <si>
    <t>2016/17</t>
  </si>
  <si>
    <t>2017/18</t>
  </si>
  <si>
    <t>Average</t>
  </si>
  <si>
    <t>WAE</t>
  </si>
  <si>
    <t>Average Delivery</t>
  </si>
  <si>
    <t>Option 1:</t>
  </si>
  <si>
    <t>Option 2:</t>
  </si>
  <si>
    <t>Option 3:</t>
  </si>
  <si>
    <t>Option 3</t>
  </si>
  <si>
    <t>Cost recovery Variable Charge Only</t>
  </si>
  <si>
    <t>Cost recovery fixed and variable charges</t>
  </si>
  <si>
    <t>At least Break even in every year</t>
  </si>
  <si>
    <t>Fixed Charge ($/WAE)</t>
  </si>
  <si>
    <t>Variable Charge ($/ML)</t>
  </si>
  <si>
    <t>2019/20 electricity prices have been applied.</t>
  </si>
  <si>
    <t>Month starting</t>
  </si>
  <si>
    <t>KWH</t>
  </si>
  <si>
    <t>Actual water use  (with adjustments) (ML)*</t>
  </si>
  <si>
    <t>Fixed Costs</t>
  </si>
  <si>
    <t>Fixed Electricity charges ($)</t>
  </si>
  <si>
    <t>Unrecovered costs (variable)</t>
  </si>
  <si>
    <t>kWh/year</t>
  </si>
  <si>
    <t>Minimum recover y of electricity costs</t>
  </si>
  <si>
    <t>Average recovery of electricity costs</t>
  </si>
  <si>
    <t>Maximum recovery of electricity costs</t>
  </si>
  <si>
    <t>DRAFT Dawson WS electricity analysis</t>
  </si>
  <si>
    <t>NOTE: The prices and costs below reflect best available information as at 22 August 2019, and do not reflect a formal cost esimate or policy submission by Sunwater. They have been provided as a proof of concept to illustrate the methodology proposed by the Queensland Farmers' Federation.</t>
  </si>
  <si>
    <t>DRAFT Bundaberg DS electricity analysis</t>
  </si>
  <si>
    <t>DRAFT Barker Barambah electricity analsyis</t>
  </si>
  <si>
    <t>DRAFT Lower Mary DS Electricity Analysis</t>
  </si>
  <si>
    <t>DRAFT Mareeba-Dimbulah DS electricity analysis</t>
  </si>
  <si>
    <t>DRAFT Bowen Broken WS electricity analysis</t>
  </si>
  <si>
    <t>DRAFT Eton DS electricity analysis</t>
  </si>
  <si>
    <t>DRAFT Three Moon Creek WS electricity analysis</t>
  </si>
  <si>
    <t>DRAFT Upper Condamine WS electricity analysis</t>
  </si>
  <si>
    <t>DRAFT Burdekin DS Electricity Analysis</t>
  </si>
  <si>
    <t>Maximum Loss ($)</t>
  </si>
  <si>
    <t>Maximum Profit ($)</t>
  </si>
  <si>
    <t>Average Profit</t>
  </si>
  <si>
    <t>Pumped (ML)</t>
  </si>
  <si>
    <t>2018/19</t>
  </si>
  <si>
    <t>2019/20 electricity prices have been applied. Contestable tariff arrangements at Haughton Pump Station are not included in these calculations.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</si>
</sst>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_-;\-* #,##0_-;_-* &quot;-&quot;??_-;_-@_-"/>
    <numFmt numFmtId="165" formatCode="#,##0_ ;\-#,##0\ "/>
    <numFmt numFmtId="166" formatCode="_(* #,##0.00_);_(* \(#,##0.00\);_(* &quot;-&quot;??_);_(@_)"/>
    <numFmt numFmtId="167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.8000000000000007"/>
      <color theme="1"/>
      <name val="Verdana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gray0625">
        <fgColor theme="6"/>
      </patternFill>
    </fill>
  </fills>
  <borders count="18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dashed">
        <color theme="6"/>
      </right>
      <top/>
      <bottom/>
      <diagonal/>
    </border>
    <border>
      <left/>
      <right style="dashed">
        <color theme="6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1" applyNumberFormat="0" applyFill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80">
    <xf numFmtId="0" fontId="0" fillId="0" borderId="0" xfId="0"/>
    <xf numFmtId="0" fontId="5" fillId="0" borderId="0" xfId="0" applyFont="1" applyAlignment="1">
      <alignment horizontal="center"/>
    </xf>
    <xf numFmtId="0" fontId="3" fillId="2" borderId="0" xfId="0" applyFont="1" applyFill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4" fontId="0" fillId="0" borderId="0" xfId="0" applyNumberFormat="1"/>
    <xf numFmtId="164" fontId="4" fillId="0" borderId="4" xfId="1" applyNumberFormat="1" applyFont="1" applyBorder="1"/>
    <xf numFmtId="164" fontId="2" fillId="0" borderId="1" xfId="2" applyNumberFormat="1"/>
    <xf numFmtId="164" fontId="2" fillId="0" borderId="1" xfId="1" applyNumberFormat="1" applyFont="1" applyBorder="1"/>
    <xf numFmtId="43" fontId="0" fillId="0" borderId="0" xfId="1" applyNumberFormat="1" applyFont="1" applyBorder="1"/>
    <xf numFmtId="164" fontId="0" fillId="0" borderId="5" xfId="1" applyNumberFormat="1" applyFont="1" applyBorder="1"/>
    <xf numFmtId="43" fontId="0" fillId="0" borderId="4" xfId="1" applyNumberFormat="1" applyFont="1" applyBorder="1"/>
    <xf numFmtId="164" fontId="0" fillId="0" borderId="0" xfId="1" applyNumberFormat="1" applyFont="1" applyBorder="1"/>
    <xf numFmtId="164" fontId="0" fillId="0" borderId="6" xfId="1" applyNumberFormat="1" applyFont="1" applyBorder="1"/>
    <xf numFmtId="43" fontId="0" fillId="0" borderId="4" xfId="0" applyNumberFormat="1" applyBorder="1"/>
    <xf numFmtId="0" fontId="0" fillId="0" borderId="0" xfId="0" applyBorder="1"/>
    <xf numFmtId="0" fontId="4" fillId="0" borderId="7" xfId="0" applyFont="1" applyBorder="1"/>
    <xf numFmtId="164" fontId="4" fillId="0" borderId="8" xfId="0" applyNumberFormat="1" applyFont="1" applyBorder="1"/>
    <xf numFmtId="43" fontId="4" fillId="0" borderId="8" xfId="0" applyNumberFormat="1" applyFont="1" applyBorder="1"/>
    <xf numFmtId="43" fontId="0" fillId="0" borderId="9" xfId="0" applyNumberFormat="1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4" fillId="0" borderId="0" xfId="0" applyFont="1" applyBorder="1"/>
    <xf numFmtId="164" fontId="4" fillId="0" borderId="0" xfId="0" applyNumberFormat="1" applyFont="1" applyBorder="1"/>
    <xf numFmtId="43" fontId="4" fillId="0" borderId="0" xfId="0" applyNumberFormat="1" applyFont="1" applyBorder="1"/>
    <xf numFmtId="43" fontId="0" fillId="0" borderId="0" xfId="0" applyNumberFormat="1" applyBorder="1"/>
    <xf numFmtId="0" fontId="0" fillId="0" borderId="11" xfId="0" applyBorder="1" applyAlignment="1">
      <alignment horizontal="center" vertical="center" wrapText="1"/>
    </xf>
    <xf numFmtId="165" fontId="0" fillId="0" borderId="12" xfId="0" applyNumberFormat="1" applyBorder="1" applyAlignment="1">
      <alignment horizontal="center" vertical="center" wrapText="1"/>
    </xf>
    <xf numFmtId="43" fontId="0" fillId="0" borderId="12" xfId="0" applyNumberFormat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/>
    <xf numFmtId="0" fontId="0" fillId="0" borderId="13" xfId="0" applyBorder="1" applyAlignment="1">
      <alignment vertical="top" wrapText="1"/>
    </xf>
    <xf numFmtId="2" fontId="0" fillId="0" borderId="14" xfId="0" applyNumberFormat="1" applyBorder="1" applyAlignment="1">
      <alignment horizontal="center" vertical="center" wrapText="1"/>
    </xf>
    <xf numFmtId="43" fontId="0" fillId="0" borderId="0" xfId="0" applyNumberFormat="1"/>
    <xf numFmtId="0" fontId="0" fillId="0" borderId="4" xfId="0" applyBorder="1" applyAlignment="1">
      <alignment horizontal="left"/>
    </xf>
    <xf numFmtId="164" fontId="0" fillId="0" borderId="0" xfId="1" applyNumberFormat="1" applyFont="1"/>
    <xf numFmtId="0" fontId="0" fillId="0" borderId="11" xfId="0" applyBorder="1" applyAlignment="1">
      <alignment vertical="top" wrapText="1"/>
    </xf>
    <xf numFmtId="3" fontId="6" fillId="0" borderId="11" xfId="0" applyNumberFormat="1" applyFont="1" applyBorder="1" applyAlignment="1">
      <alignment horizontal="center" vertical="center" wrapText="1"/>
    </xf>
    <xf numFmtId="3" fontId="0" fillId="0" borderId="14" xfId="0" applyNumberFormat="1" applyBorder="1" applyAlignment="1">
      <alignment horizontal="center" vertical="center" wrapText="1"/>
    </xf>
    <xf numFmtId="0" fontId="0" fillId="0" borderId="9" xfId="0" applyBorder="1" applyAlignment="1">
      <alignment horizontal="left"/>
    </xf>
    <xf numFmtId="43" fontId="0" fillId="0" borderId="7" xfId="1" applyNumberFormat="1" applyFont="1" applyBorder="1"/>
    <xf numFmtId="164" fontId="0" fillId="0" borderId="8" xfId="1" applyNumberFormat="1" applyFont="1" applyBorder="1"/>
    <xf numFmtId="164" fontId="0" fillId="0" borderId="10" xfId="1" applyNumberFormat="1" applyFont="1" applyBorder="1"/>
    <xf numFmtId="0" fontId="3" fillId="2" borderId="0" xfId="0" applyFont="1" applyFill="1" applyAlignment="1"/>
    <xf numFmtId="164" fontId="4" fillId="0" borderId="4" xfId="4" applyNumberFormat="1" applyFont="1" applyBorder="1"/>
    <xf numFmtId="164" fontId="2" fillId="0" borderId="1" xfId="4" applyNumberFormat="1" applyFont="1" applyBorder="1"/>
    <xf numFmtId="166" fontId="0" fillId="0" borderId="0" xfId="4" applyNumberFormat="1" applyFont="1" applyBorder="1"/>
    <xf numFmtId="164" fontId="0" fillId="0" borderId="5" xfId="4" applyNumberFormat="1" applyFont="1" applyBorder="1"/>
    <xf numFmtId="166" fontId="0" fillId="0" borderId="4" xfId="4" applyNumberFormat="1" applyFont="1" applyBorder="1"/>
    <xf numFmtId="164" fontId="0" fillId="0" borderId="0" xfId="4" applyNumberFormat="1" applyFont="1" applyBorder="1"/>
    <xf numFmtId="164" fontId="0" fillId="0" borderId="6" xfId="4" applyNumberFormat="1" applyFont="1" applyBorder="1"/>
    <xf numFmtId="166" fontId="0" fillId="0" borderId="4" xfId="0" applyNumberFormat="1" applyBorder="1"/>
    <xf numFmtId="166" fontId="4" fillId="0" borderId="8" xfId="0" applyNumberFormat="1" applyFont="1" applyBorder="1"/>
    <xf numFmtId="166" fontId="0" fillId="0" borderId="9" xfId="0" applyNumberFormat="1" applyBorder="1"/>
    <xf numFmtId="166" fontId="4" fillId="0" borderId="0" xfId="0" applyNumberFormat="1" applyFont="1" applyBorder="1"/>
    <xf numFmtId="166" fontId="0" fillId="0" borderId="0" xfId="0" applyNumberFormat="1" applyBorder="1"/>
    <xf numFmtId="166" fontId="0" fillId="0" borderId="12" xfId="0" applyNumberFormat="1" applyBorder="1" applyAlignment="1">
      <alignment horizontal="center" vertical="center" wrapText="1"/>
    </xf>
    <xf numFmtId="166" fontId="0" fillId="0" borderId="0" xfId="0" applyNumberFormat="1"/>
    <xf numFmtId="164" fontId="0" fillId="0" borderId="0" xfId="4" applyNumberFormat="1" applyFont="1"/>
    <xf numFmtId="166" fontId="0" fillId="0" borderId="7" xfId="4" applyNumberFormat="1" applyFont="1" applyBorder="1"/>
    <xf numFmtId="164" fontId="0" fillId="0" borderId="8" xfId="4" applyNumberFormat="1" applyFont="1" applyBorder="1"/>
    <xf numFmtId="164" fontId="0" fillId="0" borderId="10" xfId="4" applyNumberFormat="1" applyFont="1" applyBorder="1"/>
    <xf numFmtId="164" fontId="0" fillId="3" borderId="16" xfId="1" applyNumberFormat="1" applyFont="1" applyFill="1" applyBorder="1" applyAlignment="1">
      <alignment horizontal="center" wrapText="1"/>
    </xf>
    <xf numFmtId="167" fontId="0" fillId="0" borderId="0" xfId="3" applyNumberFormat="1" applyFont="1"/>
    <xf numFmtId="164" fontId="0" fillId="3" borderId="17" xfId="1" applyNumberFormat="1" applyFont="1" applyFill="1" applyBorder="1" applyAlignment="1">
      <alignment horizontal="center" wrapText="1"/>
    </xf>
    <xf numFmtId="43" fontId="0" fillId="0" borderId="8" xfId="1" applyNumberFormat="1" applyFont="1" applyBorder="1"/>
    <xf numFmtId="0" fontId="4" fillId="0" borderId="0" xfId="0" applyFont="1" applyAlignment="1">
      <alignment wrapText="1"/>
    </xf>
    <xf numFmtId="43" fontId="4" fillId="0" borderId="0" xfId="1" applyNumberFormat="1" applyFont="1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3" fillId="2" borderId="15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</cellXfs>
  <cellStyles count="5">
    <cellStyle name="Comma" xfId="1" builtinId="3"/>
    <cellStyle name="Comma 2" xfId="4"/>
    <cellStyle name="Linked Cell" xfId="2" builtinId="24"/>
    <cellStyle name="Normal" xfId="0" builtinId="0"/>
    <cellStyle name="Percent" xfId="3" builtinId="5"/>
  </cellStyles>
  <dxfs count="20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'Burdekin DS'!$T$7:$T$11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FF-4124-9321-3E1DDA17254D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'Burdekin DS'!$U$7:$U$11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FF-4124-9321-3E1DDA172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6353104"/>
        <c:axId val="1056359664"/>
      </c:lineChart>
      <c:catAx>
        <c:axId val="1056353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6359664"/>
        <c:crosses val="autoZero"/>
        <c:auto val="1"/>
        <c:lblAlgn val="ctr"/>
        <c:lblOffset val="100"/>
        <c:noMultiLvlLbl val="0"/>
      </c:catAx>
      <c:valAx>
        <c:axId val="105635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635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'Upper Condamine'!$Q$7:$Q$11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6A-49D6-B23A-86F06B149870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'Upper Condamine'!$R$7:$R$11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6A-49D6-B23A-86F06B149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6353104"/>
        <c:axId val="1056359664"/>
      </c:lineChart>
      <c:catAx>
        <c:axId val="1056353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6359664"/>
        <c:crosses val="autoZero"/>
        <c:auto val="1"/>
        <c:lblAlgn val="ctr"/>
        <c:lblOffset val="100"/>
        <c:noMultiLvlLbl val="0"/>
      </c:catAx>
      <c:valAx>
        <c:axId val="105635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635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Dawson!$S$7:$S$11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35-4541-A4A7-B09782238A79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Dawson!$T$7:$T$11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35-4541-A4A7-B09782238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6353104"/>
        <c:axId val="1056359664"/>
      </c:lineChart>
      <c:catAx>
        <c:axId val="1056353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6359664"/>
        <c:crosses val="autoZero"/>
        <c:auto val="1"/>
        <c:lblAlgn val="ctr"/>
        <c:lblOffset val="100"/>
        <c:noMultiLvlLbl val="0"/>
      </c:catAx>
      <c:valAx>
        <c:axId val="105635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635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'Bundaberg DS'!$S$7:$S$11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E1-48FA-8618-DE6B4AAAD1EB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'Bundaberg DS'!$T$7:$T$11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E1-48FA-8618-DE6B4AAAD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6353104"/>
        <c:axId val="1056359664"/>
      </c:lineChart>
      <c:catAx>
        <c:axId val="1056353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6359664"/>
        <c:crosses val="autoZero"/>
        <c:auto val="1"/>
        <c:lblAlgn val="ctr"/>
        <c:lblOffset val="100"/>
        <c:noMultiLvlLbl val="0"/>
      </c:catAx>
      <c:valAx>
        <c:axId val="105635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635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'Barker Barambah'!$Q$7:$Q$11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50-4551-BB6B-6A3F6D157DCC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'Barker Barambah'!$R$7:$R$11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50-4551-BB6B-6A3F6D157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6353104"/>
        <c:axId val="1056359664"/>
      </c:lineChart>
      <c:catAx>
        <c:axId val="1056353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6359664"/>
        <c:crosses val="autoZero"/>
        <c:auto val="1"/>
        <c:lblAlgn val="ctr"/>
        <c:lblOffset val="100"/>
        <c:noMultiLvlLbl val="0"/>
      </c:catAx>
      <c:valAx>
        <c:axId val="105635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635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'Lower Mary'!$S$7:$S$11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AD-4067-9256-B9CA19C24699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'Lower Mary'!$T$7:$T$11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AD-4067-9256-B9CA19C24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6353104"/>
        <c:axId val="1056359664"/>
      </c:lineChart>
      <c:catAx>
        <c:axId val="1056353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6359664"/>
        <c:crosses val="autoZero"/>
        <c:auto val="1"/>
        <c:lblAlgn val="ctr"/>
        <c:lblOffset val="100"/>
        <c:noMultiLvlLbl val="0"/>
      </c:catAx>
      <c:valAx>
        <c:axId val="105635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635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'Mareeba DS'!$S$7:$S$11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99-48A6-83D4-DAC8D55EFD7E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'Mareeba DS'!$T$7:$T$11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99-48A6-83D4-DAC8D55EF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6353104"/>
        <c:axId val="1056359664"/>
      </c:lineChart>
      <c:catAx>
        <c:axId val="1056353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6359664"/>
        <c:crosses val="autoZero"/>
        <c:auto val="1"/>
        <c:lblAlgn val="ctr"/>
        <c:lblOffset val="100"/>
        <c:noMultiLvlLbl val="0"/>
      </c:catAx>
      <c:valAx>
        <c:axId val="105635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635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'Bowen Broken'!$Q$7:$Q$11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93-4BEE-8221-F66FE6D02A8D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'Bowen Broken'!$R$7:$R$11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93-4BEE-8221-F66FE6D02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6353104"/>
        <c:axId val="1056359664"/>
      </c:lineChart>
      <c:catAx>
        <c:axId val="1056353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6359664"/>
        <c:crosses val="autoZero"/>
        <c:auto val="1"/>
        <c:lblAlgn val="ctr"/>
        <c:lblOffset val="100"/>
        <c:noMultiLvlLbl val="0"/>
      </c:catAx>
      <c:valAx>
        <c:axId val="105635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635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'Eton DS'!$S$7:$S$11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09-4A00-98F0-68229E09B3B5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'Eton DS'!$T$7:$T$11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09-4A00-98F0-68229E09B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6353104"/>
        <c:axId val="1056359664"/>
      </c:lineChart>
      <c:catAx>
        <c:axId val="1056353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6359664"/>
        <c:crosses val="autoZero"/>
        <c:auto val="1"/>
        <c:lblAlgn val="ctr"/>
        <c:lblOffset val="100"/>
        <c:noMultiLvlLbl val="0"/>
      </c:catAx>
      <c:valAx>
        <c:axId val="105635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635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'Three Moon Creek'!$S$7:$S$11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FC-4669-A38F-1BCAFA1771CB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'Three Moon Creek'!$T$7:$T$11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FC-4669-A38F-1BCAFA177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6353104"/>
        <c:axId val="1056359664"/>
      </c:lineChart>
      <c:catAx>
        <c:axId val="1056353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6359664"/>
        <c:crosses val="autoZero"/>
        <c:auto val="1"/>
        <c:lblAlgn val="ctr"/>
        <c:lblOffset val="100"/>
        <c:noMultiLvlLbl val="0"/>
      </c:catAx>
      <c:valAx>
        <c:axId val="105635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635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304800</xdr:colOff>
      <xdr:row>4</xdr:row>
      <xdr:rowOff>76200</xdr:rowOff>
    </xdr:from>
    <xdr:to>
      <xdr:col>30</xdr:col>
      <xdr:colOff>0</xdr:colOff>
      <xdr:row>14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FB03050-51B6-452B-8198-5EB7160697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304800</xdr:colOff>
      <xdr:row>4</xdr:row>
      <xdr:rowOff>76200</xdr:rowOff>
    </xdr:from>
    <xdr:to>
      <xdr:col>29</xdr:col>
      <xdr:colOff>0</xdr:colOff>
      <xdr:row>13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71FCA41-F817-4975-B90E-828AEEE77F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304800</xdr:colOff>
      <xdr:row>4</xdr:row>
      <xdr:rowOff>76200</xdr:rowOff>
    </xdr:from>
    <xdr:to>
      <xdr:col>29</xdr:col>
      <xdr:colOff>0</xdr:colOff>
      <xdr:row>13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36A5C48-4ED4-4B83-BB09-CA4466DCF8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304800</xdr:colOff>
      <xdr:row>4</xdr:row>
      <xdr:rowOff>76200</xdr:rowOff>
    </xdr:from>
    <xdr:to>
      <xdr:col>29</xdr:col>
      <xdr:colOff>0</xdr:colOff>
      <xdr:row>13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CCF22B3-DB4A-4D6B-B335-94742F0A6A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304800</xdr:colOff>
      <xdr:row>4</xdr:row>
      <xdr:rowOff>76200</xdr:rowOff>
    </xdr:from>
    <xdr:to>
      <xdr:col>29</xdr:col>
      <xdr:colOff>0</xdr:colOff>
      <xdr:row>13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F7F73A8-B261-40E6-AFF8-66828C88AD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304800</xdr:colOff>
      <xdr:row>4</xdr:row>
      <xdr:rowOff>76200</xdr:rowOff>
    </xdr:from>
    <xdr:to>
      <xdr:col>29</xdr:col>
      <xdr:colOff>0</xdr:colOff>
      <xdr:row>13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6295AF-1C66-43F6-8ED5-3E8B77E06B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304800</xdr:colOff>
      <xdr:row>4</xdr:row>
      <xdr:rowOff>76200</xdr:rowOff>
    </xdr:from>
    <xdr:to>
      <xdr:col>29</xdr:col>
      <xdr:colOff>0</xdr:colOff>
      <xdr:row>13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26B7651-2F4C-4840-A1CD-7C2CEAF9A7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304800</xdr:colOff>
      <xdr:row>4</xdr:row>
      <xdr:rowOff>76200</xdr:rowOff>
    </xdr:from>
    <xdr:to>
      <xdr:col>29</xdr:col>
      <xdr:colOff>0</xdr:colOff>
      <xdr:row>13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CBE285-A675-42DA-9E11-E755DAD09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304800</xdr:colOff>
      <xdr:row>4</xdr:row>
      <xdr:rowOff>76200</xdr:rowOff>
    </xdr:from>
    <xdr:to>
      <xdr:col>28</xdr:col>
      <xdr:colOff>0</xdr:colOff>
      <xdr:row>13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9FB6B4C-E672-49BD-8FF7-71D89E2CE2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304800</xdr:colOff>
      <xdr:row>4</xdr:row>
      <xdr:rowOff>76200</xdr:rowOff>
    </xdr:from>
    <xdr:to>
      <xdr:col>29</xdr:col>
      <xdr:colOff>0</xdr:colOff>
      <xdr:row>13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72C0EEB-3BCF-4D88-82A5-7394CF1C4E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Corporate%20Strategy\Irrigation%20Pricing%202012-2016\%232021-2024%20Irrigation%20Pricing%20Review\2.%20QCA%20information%20requests\Electiricty%20Models\Electricity%20pass%20through%20model%20Bundaber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sterC\AppData\Roaming\OpenText\DM\Temp\PRODUCTION-%232456045-v15-QCA_Information_Request_57_Attachment_1_Electricity_pass-through_model-Burdekin_Haught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Corporate%20Strategy\Irrigation%20Pricing%202012-2016\%232021-2024%20Irrigation%20Pricing%20Review\2.%20QCA%20information%20requests\Electiricty%20Models\Electricity%20pass%20through%20model%20Eton%20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ps"/>
      <sheetName val="All Volumes"/>
      <sheetName val="Input Data"/>
      <sheetName val="First"/>
      <sheetName val="IsisPS"/>
      <sheetName val="Quart Pot PS"/>
      <sheetName val="Woongarra PS"/>
      <sheetName val="Gooburrum PS"/>
      <sheetName val="Monduran PS"/>
      <sheetName val="Relift PS - Walker St"/>
      <sheetName val="Bullyard PS"/>
      <sheetName val="Tirroan PS"/>
      <sheetName val="Dinner Hill P"/>
      <sheetName val="Abbotsford Hill PS"/>
      <sheetName val="Bucca PS"/>
      <sheetName val="Mcillwraith PS"/>
      <sheetName val="North Gregory PS"/>
      <sheetName val="Other NMI (Tariff 20 (small))"/>
      <sheetName val="Other NMI (Tariff 91)"/>
      <sheetName val="Other NMI (Tariff 21)"/>
      <sheetName val="Last"/>
      <sheetName val="ML Pumped"/>
      <sheetName val="LargeSiteData"/>
    </sheetNames>
    <sheetDataSet>
      <sheetData sheetId="0"/>
      <sheetData sheetId="1"/>
      <sheetData sheetId="2"/>
      <sheetData sheetId="3"/>
      <sheetData sheetId="4">
        <row r="32">
          <cell r="B32">
            <v>41456</v>
          </cell>
        </row>
        <row r="33">
          <cell r="B33">
            <v>41487</v>
          </cell>
        </row>
        <row r="34">
          <cell r="B34">
            <v>41518</v>
          </cell>
        </row>
        <row r="35">
          <cell r="B35">
            <v>41548</v>
          </cell>
        </row>
        <row r="36">
          <cell r="B36">
            <v>41579</v>
          </cell>
        </row>
        <row r="37">
          <cell r="B37">
            <v>41609</v>
          </cell>
        </row>
        <row r="38">
          <cell r="B38">
            <v>41640</v>
          </cell>
        </row>
        <row r="39">
          <cell r="B39">
            <v>41671</v>
          </cell>
        </row>
        <row r="40">
          <cell r="B40">
            <v>41699</v>
          </cell>
        </row>
        <row r="41">
          <cell r="B41">
            <v>41730</v>
          </cell>
        </row>
        <row r="42">
          <cell r="B42">
            <v>41760</v>
          </cell>
        </row>
        <row r="43">
          <cell r="B43">
            <v>41791</v>
          </cell>
        </row>
        <row r="44">
          <cell r="B44">
            <v>41821</v>
          </cell>
        </row>
        <row r="45">
          <cell r="B45">
            <v>41852</v>
          </cell>
        </row>
        <row r="46">
          <cell r="B46">
            <v>41883</v>
          </cell>
        </row>
        <row r="47">
          <cell r="B47">
            <v>41913</v>
          </cell>
        </row>
        <row r="48">
          <cell r="B48">
            <v>41944</v>
          </cell>
        </row>
        <row r="49">
          <cell r="B49">
            <v>41974</v>
          </cell>
        </row>
        <row r="50">
          <cell r="B50">
            <v>42005</v>
          </cell>
        </row>
        <row r="51">
          <cell r="B51">
            <v>42036</v>
          </cell>
        </row>
        <row r="52">
          <cell r="B52">
            <v>42064</v>
          </cell>
        </row>
        <row r="53">
          <cell r="B53">
            <v>42095</v>
          </cell>
        </row>
        <row r="54">
          <cell r="B54">
            <v>42125</v>
          </cell>
        </row>
        <row r="55">
          <cell r="B55">
            <v>42156</v>
          </cell>
        </row>
        <row r="56">
          <cell r="B56">
            <v>42186</v>
          </cell>
        </row>
        <row r="57">
          <cell r="B57">
            <v>42217</v>
          </cell>
        </row>
        <row r="58">
          <cell r="B58">
            <v>42248</v>
          </cell>
        </row>
        <row r="59">
          <cell r="B59">
            <v>42278</v>
          </cell>
        </row>
        <row r="60">
          <cell r="B60">
            <v>42309</v>
          </cell>
        </row>
        <row r="61">
          <cell r="B61">
            <v>42339</v>
          </cell>
        </row>
        <row r="62">
          <cell r="B62">
            <v>42370</v>
          </cell>
        </row>
        <row r="63">
          <cell r="B63">
            <v>42401</v>
          </cell>
        </row>
        <row r="64">
          <cell r="B64">
            <v>42430</v>
          </cell>
        </row>
        <row r="65">
          <cell r="B65">
            <v>42461</v>
          </cell>
        </row>
        <row r="66">
          <cell r="B66">
            <v>42491</v>
          </cell>
        </row>
        <row r="67">
          <cell r="B67">
            <v>42522</v>
          </cell>
        </row>
        <row r="68">
          <cell r="B68">
            <v>42552</v>
          </cell>
        </row>
        <row r="69">
          <cell r="B69">
            <v>42583</v>
          </cell>
        </row>
        <row r="70">
          <cell r="B70">
            <v>42614</v>
          </cell>
        </row>
        <row r="71">
          <cell r="B71">
            <v>42644</v>
          </cell>
        </row>
        <row r="72">
          <cell r="B72">
            <v>42675</v>
          </cell>
        </row>
        <row r="73">
          <cell r="B73">
            <v>42705</v>
          </cell>
        </row>
        <row r="74">
          <cell r="B74">
            <v>42736</v>
          </cell>
        </row>
        <row r="75">
          <cell r="B75">
            <v>42767</v>
          </cell>
        </row>
        <row r="76">
          <cell r="B76">
            <v>42795</v>
          </cell>
        </row>
        <row r="77">
          <cell r="B77">
            <v>42826</v>
          </cell>
        </row>
        <row r="78">
          <cell r="B78">
            <v>42856</v>
          </cell>
        </row>
        <row r="79">
          <cell r="B79">
            <v>42887</v>
          </cell>
        </row>
        <row r="80">
          <cell r="B80">
            <v>42917</v>
          </cell>
        </row>
        <row r="81">
          <cell r="B81">
            <v>42948</v>
          </cell>
        </row>
        <row r="82">
          <cell r="B82">
            <v>42979</v>
          </cell>
        </row>
        <row r="83">
          <cell r="B83">
            <v>43009</v>
          </cell>
        </row>
        <row r="84">
          <cell r="B84">
            <v>43040</v>
          </cell>
        </row>
        <row r="85">
          <cell r="B85">
            <v>43070</v>
          </cell>
        </row>
        <row r="86">
          <cell r="B86">
            <v>43101</v>
          </cell>
        </row>
        <row r="87">
          <cell r="B87">
            <v>43132</v>
          </cell>
        </row>
        <row r="88">
          <cell r="B88">
            <v>43160</v>
          </cell>
        </row>
        <row r="89">
          <cell r="B89">
            <v>43191</v>
          </cell>
        </row>
        <row r="90">
          <cell r="B90">
            <v>43221</v>
          </cell>
        </row>
        <row r="91">
          <cell r="B91">
            <v>43252</v>
          </cell>
        </row>
        <row r="92">
          <cell r="B92">
            <v>43282</v>
          </cell>
        </row>
        <row r="93">
          <cell r="B93">
            <v>43313</v>
          </cell>
        </row>
        <row r="94">
          <cell r="B94">
            <v>43344</v>
          </cell>
        </row>
        <row r="95">
          <cell r="B95">
            <v>43374</v>
          </cell>
        </row>
        <row r="96">
          <cell r="B96">
            <v>43405</v>
          </cell>
        </row>
        <row r="97">
          <cell r="B97">
            <v>43435</v>
          </cell>
        </row>
        <row r="98">
          <cell r="B98">
            <v>43466</v>
          </cell>
        </row>
        <row r="99">
          <cell r="B99">
            <v>43497</v>
          </cell>
        </row>
        <row r="100">
          <cell r="B100">
            <v>43525</v>
          </cell>
        </row>
        <row r="101">
          <cell r="B101">
            <v>43556</v>
          </cell>
        </row>
        <row r="102">
          <cell r="B102">
            <v>43586</v>
          </cell>
        </row>
        <row r="103">
          <cell r="B103">
            <v>43617</v>
          </cell>
        </row>
        <row r="104">
          <cell r="B104">
            <v>43647</v>
          </cell>
        </row>
        <row r="105">
          <cell r="B105">
            <v>43678</v>
          </cell>
        </row>
        <row r="106">
          <cell r="B106">
            <v>43709</v>
          </cell>
        </row>
        <row r="107">
          <cell r="B107">
            <v>43739</v>
          </cell>
        </row>
        <row r="108">
          <cell r="B108">
            <v>43770</v>
          </cell>
        </row>
        <row r="109">
          <cell r="B109">
            <v>43800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ps"/>
      <sheetName val="All Volumes"/>
      <sheetName val="Input Data"/>
      <sheetName val="First"/>
      <sheetName val="HaughtonPS"/>
      <sheetName val=" MILLAROO ‘A’ PS"/>
      <sheetName val="CLARE ‘B’ PS"/>
      <sheetName val=" CLARE ‘A’ PS"/>
      <sheetName val=" MILLAROO ‘B’ PS"/>
      <sheetName val="DALBEG ‘A’ PS"/>
      <sheetName val=" DALBEG ‘B’ PS  "/>
      <sheetName val="ELLIOTT PS 1&amp;2"/>
      <sheetName val="ELLIOTT PS 3&amp;4"/>
      <sheetName val="Other NMI (Tariff 62)"/>
      <sheetName val="Other NMI (Tariff 65)"/>
      <sheetName val="Other NMI (Tariff 20 (small))"/>
      <sheetName val="Other NMI (Tariff 91)"/>
      <sheetName val="Other NMI (Tariff 21)"/>
      <sheetName val="Last"/>
      <sheetName val="ML Pumped"/>
      <sheetName val="LargeSiteData"/>
      <sheetName val="Summary"/>
    </sheetNames>
    <sheetDataSet>
      <sheetData sheetId="0"/>
      <sheetData sheetId="1"/>
      <sheetData sheetId="2"/>
      <sheetData sheetId="3"/>
      <sheetData sheetId="4">
        <row r="32">
          <cell r="B32">
            <v>41456</v>
          </cell>
        </row>
        <row r="33">
          <cell r="B33">
            <v>41487</v>
          </cell>
        </row>
        <row r="34">
          <cell r="B34">
            <v>41518</v>
          </cell>
        </row>
        <row r="35">
          <cell r="B35">
            <v>41548</v>
          </cell>
        </row>
        <row r="36">
          <cell r="B36">
            <v>41579</v>
          </cell>
        </row>
        <row r="37">
          <cell r="B37">
            <v>41609</v>
          </cell>
        </row>
        <row r="38">
          <cell r="B38">
            <v>41640</v>
          </cell>
        </row>
        <row r="39">
          <cell r="B39">
            <v>41671</v>
          </cell>
        </row>
        <row r="40">
          <cell r="B40">
            <v>41699</v>
          </cell>
        </row>
        <row r="41">
          <cell r="B41">
            <v>41730</v>
          </cell>
        </row>
        <row r="42">
          <cell r="B42">
            <v>41760</v>
          </cell>
        </row>
        <row r="43">
          <cell r="B43">
            <v>41791</v>
          </cell>
        </row>
        <row r="44">
          <cell r="B44">
            <v>41821</v>
          </cell>
        </row>
        <row r="45">
          <cell r="B45">
            <v>41852</v>
          </cell>
        </row>
        <row r="46">
          <cell r="B46">
            <v>41883</v>
          </cell>
        </row>
        <row r="47">
          <cell r="B47">
            <v>41913</v>
          </cell>
        </row>
        <row r="48">
          <cell r="B48">
            <v>41944</v>
          </cell>
        </row>
        <row r="49">
          <cell r="B49">
            <v>41974</v>
          </cell>
        </row>
        <row r="50">
          <cell r="B50">
            <v>42005</v>
          </cell>
        </row>
        <row r="51">
          <cell r="B51">
            <v>42036</v>
          </cell>
        </row>
        <row r="52">
          <cell r="B52">
            <v>42064</v>
          </cell>
        </row>
        <row r="53">
          <cell r="B53">
            <v>42095</v>
          </cell>
        </row>
        <row r="54">
          <cell r="B54">
            <v>42125</v>
          </cell>
        </row>
        <row r="55">
          <cell r="B55">
            <v>42156</v>
          </cell>
        </row>
        <row r="56">
          <cell r="B56">
            <v>42186</v>
          </cell>
        </row>
        <row r="57">
          <cell r="B57">
            <v>42217</v>
          </cell>
        </row>
        <row r="58">
          <cell r="B58">
            <v>42248</v>
          </cell>
        </row>
        <row r="59">
          <cell r="B59">
            <v>42278</v>
          </cell>
        </row>
        <row r="60">
          <cell r="B60">
            <v>42309</v>
          </cell>
        </row>
        <row r="61">
          <cell r="B61">
            <v>42339</v>
          </cell>
        </row>
        <row r="62">
          <cell r="B62">
            <v>42370</v>
          </cell>
        </row>
        <row r="63">
          <cell r="B63">
            <v>42401</v>
          </cell>
        </row>
        <row r="64">
          <cell r="B64">
            <v>42430</v>
          </cell>
        </row>
        <row r="65">
          <cell r="B65">
            <v>42461</v>
          </cell>
        </row>
        <row r="66">
          <cell r="B66">
            <v>42491</v>
          </cell>
        </row>
        <row r="67">
          <cell r="B67">
            <v>42522</v>
          </cell>
        </row>
        <row r="68">
          <cell r="B68">
            <v>42552</v>
          </cell>
        </row>
        <row r="69">
          <cell r="B69">
            <v>42583</v>
          </cell>
        </row>
        <row r="70">
          <cell r="B70">
            <v>42614</v>
          </cell>
        </row>
        <row r="71">
          <cell r="B71">
            <v>42644</v>
          </cell>
        </row>
        <row r="72">
          <cell r="B72">
            <v>42675</v>
          </cell>
        </row>
        <row r="73">
          <cell r="B73">
            <v>42705</v>
          </cell>
        </row>
        <row r="74">
          <cell r="B74">
            <v>42736</v>
          </cell>
        </row>
        <row r="75">
          <cell r="B75">
            <v>42767</v>
          </cell>
        </row>
        <row r="76">
          <cell r="B76">
            <v>42795</v>
          </cell>
        </row>
        <row r="77">
          <cell r="B77">
            <v>42826</v>
          </cell>
        </row>
        <row r="78">
          <cell r="B78">
            <v>42856</v>
          </cell>
        </row>
        <row r="79">
          <cell r="B79">
            <v>42887</v>
          </cell>
        </row>
        <row r="80">
          <cell r="B80">
            <v>42917</v>
          </cell>
        </row>
        <row r="81">
          <cell r="B81">
            <v>42948</v>
          </cell>
        </row>
        <row r="82">
          <cell r="B82">
            <v>42979</v>
          </cell>
        </row>
        <row r="83">
          <cell r="B83">
            <v>43009</v>
          </cell>
        </row>
        <row r="84">
          <cell r="B84">
            <v>43040</v>
          </cell>
        </row>
        <row r="85">
          <cell r="B85">
            <v>43070</v>
          </cell>
        </row>
        <row r="86">
          <cell r="B86">
            <v>43101</v>
          </cell>
        </row>
        <row r="87">
          <cell r="B87">
            <v>43132</v>
          </cell>
        </row>
        <row r="88">
          <cell r="B88">
            <v>43160</v>
          </cell>
        </row>
        <row r="89">
          <cell r="B89">
            <v>43191</v>
          </cell>
        </row>
        <row r="90">
          <cell r="B90">
            <v>43221</v>
          </cell>
        </row>
        <row r="91">
          <cell r="B91">
            <v>43252</v>
          </cell>
        </row>
        <row r="92">
          <cell r="B92">
            <v>43282</v>
          </cell>
        </row>
        <row r="93">
          <cell r="B93">
            <v>43313</v>
          </cell>
        </row>
        <row r="94">
          <cell r="B94">
            <v>43344</v>
          </cell>
        </row>
        <row r="95">
          <cell r="B95">
            <v>43374</v>
          </cell>
        </row>
        <row r="96">
          <cell r="B96">
            <v>43405</v>
          </cell>
        </row>
        <row r="97">
          <cell r="B97">
            <v>43435</v>
          </cell>
        </row>
        <row r="98">
          <cell r="B98">
            <v>43466</v>
          </cell>
        </row>
        <row r="99">
          <cell r="B99">
            <v>43497</v>
          </cell>
        </row>
        <row r="100">
          <cell r="B100">
            <v>43525</v>
          </cell>
        </row>
        <row r="101">
          <cell r="B101">
            <v>43556</v>
          </cell>
        </row>
        <row r="102">
          <cell r="B102">
            <v>43586</v>
          </cell>
        </row>
        <row r="103">
          <cell r="B103">
            <v>43617</v>
          </cell>
        </row>
        <row r="104">
          <cell r="B104">
            <v>43647</v>
          </cell>
        </row>
        <row r="105">
          <cell r="B105">
            <v>43678</v>
          </cell>
        </row>
        <row r="106">
          <cell r="B106">
            <v>43709</v>
          </cell>
        </row>
        <row r="107">
          <cell r="B107">
            <v>43739</v>
          </cell>
        </row>
        <row r="108">
          <cell r="B108">
            <v>43770</v>
          </cell>
        </row>
        <row r="109">
          <cell r="B109">
            <v>43800</v>
          </cell>
        </row>
      </sheetData>
      <sheetData sheetId="5">
        <row r="32">
          <cell r="B32">
            <v>41485</v>
          </cell>
        </row>
        <row r="33">
          <cell r="B33">
            <v>41516</v>
          </cell>
        </row>
        <row r="34">
          <cell r="B34">
            <v>41547</v>
          </cell>
        </row>
        <row r="35">
          <cell r="B35">
            <v>41577</v>
          </cell>
        </row>
        <row r="36">
          <cell r="B36">
            <v>41608</v>
          </cell>
        </row>
        <row r="37">
          <cell r="B37">
            <v>41639</v>
          </cell>
        </row>
        <row r="38">
          <cell r="B38">
            <v>41670</v>
          </cell>
        </row>
        <row r="39">
          <cell r="B39">
            <v>41698</v>
          </cell>
        </row>
        <row r="40">
          <cell r="B40">
            <v>41729</v>
          </cell>
        </row>
        <row r="41">
          <cell r="B41">
            <v>41759</v>
          </cell>
        </row>
        <row r="42">
          <cell r="B42">
            <v>41790</v>
          </cell>
        </row>
        <row r="43">
          <cell r="B43">
            <v>41820</v>
          </cell>
        </row>
        <row r="44">
          <cell r="B44">
            <v>41851</v>
          </cell>
        </row>
        <row r="45">
          <cell r="B45">
            <v>41882</v>
          </cell>
        </row>
        <row r="46">
          <cell r="B46">
            <v>41912</v>
          </cell>
        </row>
        <row r="47">
          <cell r="B47">
            <v>41943</v>
          </cell>
        </row>
        <row r="48">
          <cell r="B48">
            <v>41973</v>
          </cell>
        </row>
        <row r="49">
          <cell r="B49">
            <v>42004</v>
          </cell>
        </row>
        <row r="50">
          <cell r="B50">
            <v>42035</v>
          </cell>
        </row>
        <row r="51">
          <cell r="B51">
            <v>42063</v>
          </cell>
        </row>
        <row r="52">
          <cell r="B52">
            <v>42094</v>
          </cell>
        </row>
        <row r="53">
          <cell r="B53">
            <v>42124</v>
          </cell>
        </row>
        <row r="54">
          <cell r="B54">
            <v>42155</v>
          </cell>
        </row>
        <row r="55">
          <cell r="B55">
            <v>42185</v>
          </cell>
        </row>
        <row r="56">
          <cell r="B56">
            <v>42216</v>
          </cell>
        </row>
        <row r="57">
          <cell r="B57">
            <v>42247</v>
          </cell>
        </row>
        <row r="58">
          <cell r="B58">
            <v>42277</v>
          </cell>
        </row>
        <row r="59">
          <cell r="B59">
            <v>42308</v>
          </cell>
        </row>
        <row r="60">
          <cell r="B60">
            <v>42338</v>
          </cell>
        </row>
        <row r="61">
          <cell r="B61">
            <v>42369</v>
          </cell>
        </row>
        <row r="62">
          <cell r="B62">
            <v>42400</v>
          </cell>
        </row>
        <row r="63">
          <cell r="B63">
            <v>42429</v>
          </cell>
        </row>
        <row r="64">
          <cell r="B64">
            <v>42460</v>
          </cell>
        </row>
        <row r="65">
          <cell r="B65">
            <v>42490</v>
          </cell>
        </row>
        <row r="66">
          <cell r="B66">
            <v>42521</v>
          </cell>
        </row>
        <row r="67">
          <cell r="B67">
            <v>42551</v>
          </cell>
        </row>
        <row r="68">
          <cell r="B68">
            <v>42582</v>
          </cell>
        </row>
        <row r="69">
          <cell r="B69">
            <v>42613</v>
          </cell>
        </row>
        <row r="70">
          <cell r="B70">
            <v>42643</v>
          </cell>
        </row>
        <row r="71">
          <cell r="B71">
            <v>42674</v>
          </cell>
        </row>
        <row r="72">
          <cell r="B72">
            <v>42704</v>
          </cell>
        </row>
        <row r="73">
          <cell r="B73">
            <v>42735</v>
          </cell>
        </row>
        <row r="74">
          <cell r="B74">
            <v>42766</v>
          </cell>
        </row>
        <row r="75">
          <cell r="B75">
            <v>42794</v>
          </cell>
        </row>
        <row r="76">
          <cell r="B76">
            <v>42825</v>
          </cell>
        </row>
        <row r="77">
          <cell r="B77">
            <v>42855</v>
          </cell>
        </row>
        <row r="78">
          <cell r="B78">
            <v>42886</v>
          </cell>
        </row>
        <row r="79">
          <cell r="B79">
            <v>42916</v>
          </cell>
        </row>
        <row r="80">
          <cell r="B80">
            <v>42947</v>
          </cell>
        </row>
        <row r="81">
          <cell r="B81">
            <v>42978</v>
          </cell>
        </row>
        <row r="82">
          <cell r="B82">
            <v>43008</v>
          </cell>
        </row>
        <row r="83">
          <cell r="B83">
            <v>43039</v>
          </cell>
        </row>
        <row r="84">
          <cell r="B84">
            <v>43069</v>
          </cell>
        </row>
        <row r="85">
          <cell r="B85">
            <v>43100</v>
          </cell>
        </row>
        <row r="86">
          <cell r="B86">
            <v>43131</v>
          </cell>
        </row>
        <row r="87">
          <cell r="B87">
            <v>43159</v>
          </cell>
        </row>
        <row r="88">
          <cell r="B88">
            <v>43190</v>
          </cell>
        </row>
        <row r="89">
          <cell r="B89">
            <v>43220</v>
          </cell>
        </row>
        <row r="90">
          <cell r="B90">
            <v>43251</v>
          </cell>
        </row>
        <row r="91">
          <cell r="B91">
            <v>43281</v>
          </cell>
        </row>
        <row r="92">
          <cell r="B92">
            <v>43312</v>
          </cell>
        </row>
        <row r="93">
          <cell r="B93">
            <v>43343</v>
          </cell>
        </row>
        <row r="94">
          <cell r="B94">
            <v>43373</v>
          </cell>
        </row>
        <row r="95">
          <cell r="B95">
            <v>43404</v>
          </cell>
        </row>
        <row r="96">
          <cell r="B96">
            <v>43434</v>
          </cell>
        </row>
        <row r="97">
          <cell r="B97">
            <v>43465</v>
          </cell>
        </row>
        <row r="98">
          <cell r="B98">
            <v>43496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ps"/>
      <sheetName val="All Volumes"/>
      <sheetName val="Input Data"/>
      <sheetName val="First"/>
      <sheetName val="Victoria Plains PS"/>
      <sheetName val="Mt Alice PS"/>
      <sheetName val="Brightly PS"/>
      <sheetName val="Oakenden PS"/>
      <sheetName val="Abingdon PS"/>
      <sheetName val="Other NMI (Tariff 20 (small))"/>
      <sheetName val="Other NMI (Tariff 21)"/>
      <sheetName val="Last"/>
      <sheetName val="ML Pumped"/>
      <sheetName val="LargeSiteData"/>
    </sheetNames>
    <sheetDataSet>
      <sheetData sheetId="0"/>
      <sheetData sheetId="1"/>
      <sheetData sheetId="2"/>
      <sheetData sheetId="3"/>
      <sheetData sheetId="4">
        <row r="20">
          <cell r="I20">
            <v>156625.67652800004</v>
          </cell>
        </row>
        <row r="21">
          <cell r="I21">
            <v>174176.61766999998</v>
          </cell>
        </row>
        <row r="22">
          <cell r="I22">
            <v>122558.9464</v>
          </cell>
        </row>
        <row r="23">
          <cell r="I23">
            <v>105053.05877</v>
          </cell>
        </row>
        <row r="24">
          <cell r="I24">
            <v>129676.20520000001</v>
          </cell>
        </row>
      </sheetData>
      <sheetData sheetId="5">
        <row r="20">
          <cell r="I20">
            <v>133454.10073599999</v>
          </cell>
        </row>
        <row r="21">
          <cell r="I21">
            <v>162643.95819000003</v>
          </cell>
        </row>
        <row r="22">
          <cell r="I22">
            <v>183620.26441000003</v>
          </cell>
        </row>
        <row r="23">
          <cell r="I23">
            <v>53794.567620000009</v>
          </cell>
        </row>
        <row r="24">
          <cell r="I24">
            <v>147720.83166</v>
          </cell>
        </row>
      </sheetData>
      <sheetData sheetId="6">
        <row r="20">
          <cell r="I20">
            <v>117480.54772800001</v>
          </cell>
        </row>
        <row r="21">
          <cell r="I21">
            <v>135860.83530000001</v>
          </cell>
        </row>
        <row r="22">
          <cell r="I22">
            <v>126763.80087000002</v>
          </cell>
        </row>
        <row r="23">
          <cell r="I23">
            <v>54272.452010000001</v>
          </cell>
        </row>
        <row r="24">
          <cell r="I24">
            <v>98172.772990000012</v>
          </cell>
        </row>
      </sheetData>
      <sheetData sheetId="7">
        <row r="20">
          <cell r="I20">
            <v>41723.026575999997</v>
          </cell>
        </row>
        <row r="21">
          <cell r="I21">
            <v>72101.048080000008</v>
          </cell>
        </row>
        <row r="22">
          <cell r="I22">
            <v>58236.425990000003</v>
          </cell>
        </row>
        <row r="23">
          <cell r="I23">
            <v>29750.960450000002</v>
          </cell>
        </row>
        <row r="24">
          <cell r="I24">
            <v>71878.055659999998</v>
          </cell>
        </row>
      </sheetData>
      <sheetData sheetId="8">
        <row r="20">
          <cell r="I20">
            <v>2283.5593801536033</v>
          </cell>
        </row>
        <row r="21">
          <cell r="I21">
            <v>2283.5593801536033</v>
          </cell>
        </row>
        <row r="22">
          <cell r="I22">
            <v>2284.4223401536033</v>
          </cell>
        </row>
        <row r="23">
          <cell r="I23">
            <v>2283.5593801536033</v>
          </cell>
        </row>
        <row r="24">
          <cell r="I24">
            <v>2283.5593801536033</v>
          </cell>
        </row>
      </sheetData>
      <sheetData sheetId="9">
        <row r="20">
          <cell r="I20">
            <v>21765.652159374997</v>
          </cell>
        </row>
        <row r="21">
          <cell r="I21">
            <v>21765.652159374997</v>
          </cell>
        </row>
        <row r="22">
          <cell r="I22">
            <v>21771.149359374998</v>
          </cell>
        </row>
        <row r="23">
          <cell r="I23">
            <v>21765.652159374997</v>
          </cell>
        </row>
        <row r="24">
          <cell r="I24">
            <v>21765.652159374997</v>
          </cell>
        </row>
      </sheetData>
      <sheetData sheetId="10">
        <row r="20">
          <cell r="I20">
            <v>501.7867</v>
          </cell>
        </row>
        <row r="21">
          <cell r="I21">
            <v>501.7867</v>
          </cell>
        </row>
        <row r="22">
          <cell r="I22">
            <v>503.38458000000003</v>
          </cell>
        </row>
        <row r="23">
          <cell r="I23">
            <v>501.7867</v>
          </cell>
        </row>
        <row r="24">
          <cell r="I24">
            <v>501.7867</v>
          </cell>
        </row>
      </sheetData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O26"/>
  <sheetViews>
    <sheetView tabSelected="1" workbookViewId="0">
      <selection activeCell="C6" sqref="C6"/>
    </sheetView>
  </sheetViews>
  <sheetFormatPr defaultRowHeight="15" x14ac:dyDescent="0.25"/>
  <cols>
    <col min="1" max="1" width="10.7109375" bestFit="1" customWidth="1"/>
    <col min="2" max="2" width="9.7109375" bestFit="1" customWidth="1"/>
    <col min="3" max="3" width="16.140625" customWidth="1"/>
    <col min="4" max="4" width="14.5703125" customWidth="1"/>
    <col min="5" max="5" width="17.42578125" customWidth="1"/>
    <col min="6" max="6" width="14.85546875" customWidth="1"/>
    <col min="7" max="7" width="13.7109375" customWidth="1"/>
    <col min="8" max="8" width="15.28515625" customWidth="1"/>
    <col min="9" max="9" width="25.42578125" customWidth="1"/>
    <col min="10" max="10" width="12.140625" customWidth="1"/>
    <col min="11" max="11" width="14.7109375" customWidth="1"/>
    <col min="12" max="12" width="16.85546875" customWidth="1"/>
    <col min="13" max="13" width="21.140625" bestFit="1" customWidth="1"/>
    <col min="14" max="14" width="13" customWidth="1"/>
  </cols>
  <sheetData>
    <row r="2" spans="1:15" x14ac:dyDescent="0.25">
      <c r="B2" s="1"/>
    </row>
    <row r="3" spans="1:15" ht="15" customHeight="1" x14ac:dyDescent="0.25"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</row>
    <row r="4" spans="1:15" ht="33" customHeight="1" x14ac:dyDescent="0.25">
      <c r="C4" s="78" t="s">
        <v>40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</row>
    <row r="5" spans="1:15" ht="40.5" customHeight="1" x14ac:dyDescent="0.25">
      <c r="C5" s="2" t="s">
        <v>49</v>
      </c>
      <c r="D5" s="2"/>
      <c r="E5" s="2"/>
      <c r="F5" s="2"/>
      <c r="G5" s="2"/>
      <c r="H5" s="2"/>
      <c r="I5" s="3"/>
      <c r="J5" s="4" t="s">
        <v>0</v>
      </c>
      <c r="K5" s="76" t="s">
        <v>1</v>
      </c>
      <c r="L5" s="77"/>
      <c r="M5" s="77"/>
      <c r="N5" s="77"/>
      <c r="O5" s="77"/>
    </row>
    <row r="6" spans="1:15" ht="59.25" customHeight="1" x14ac:dyDescent="0.25">
      <c r="C6" s="5" t="s">
        <v>2</v>
      </c>
      <c r="D6" s="5" t="s">
        <v>53</v>
      </c>
      <c r="E6" s="5" t="s">
        <v>30</v>
      </c>
      <c r="F6" s="5" t="s">
        <v>31</v>
      </c>
      <c r="G6" s="5" t="s">
        <v>33</v>
      </c>
      <c r="H6" s="5" t="s">
        <v>4</v>
      </c>
      <c r="I6" s="6" t="s">
        <v>5</v>
      </c>
      <c r="J6" s="7" t="s">
        <v>6</v>
      </c>
      <c r="K6" s="8" t="s">
        <v>7</v>
      </c>
      <c r="L6" s="8" t="s">
        <v>8</v>
      </c>
      <c r="M6" s="8" t="s">
        <v>34</v>
      </c>
      <c r="N6" s="8" t="s">
        <v>9</v>
      </c>
      <c r="O6" s="8" t="s">
        <v>10</v>
      </c>
    </row>
    <row r="7" spans="1:15" ht="15.75" thickBot="1" x14ac:dyDescent="0.3">
      <c r="A7" s="9"/>
      <c r="B7" s="9"/>
      <c r="C7" s="10" t="s">
        <v>11</v>
      </c>
      <c r="D7" s="11">
        <v>436687</v>
      </c>
      <c r="E7" s="11">
        <v>28186486.657841962</v>
      </c>
      <c r="F7" s="12">
        <v>255647.68</v>
      </c>
      <c r="G7" s="12">
        <v>1103106.1288855134</v>
      </c>
      <c r="H7" s="11">
        <v>6266262.1877786294</v>
      </c>
      <c r="I7" s="13">
        <f>H7/F7</f>
        <v>24.511320375677297</v>
      </c>
      <c r="J7" s="14">
        <f>$I$13*F7-H7</f>
        <v>-638670.90178577788</v>
      </c>
      <c r="K7" s="15">
        <f>E19</f>
        <v>8.6718562337918232</v>
      </c>
      <c r="L7" s="16">
        <f>K7*$D$15</f>
        <v>2704741.8999664388</v>
      </c>
      <c r="M7" s="16">
        <f>H7-L7</f>
        <v>3561520.2878121906</v>
      </c>
      <c r="N7" s="16">
        <f>LINEST('Burdekin DS'!$H$7:$H$11,'Burdekin DS'!$F$7:$F$11)*F7</f>
        <v>3118333.8109423486</v>
      </c>
      <c r="O7" s="17">
        <f>L7+N7-H7</f>
        <v>-443186.47686984204</v>
      </c>
    </row>
    <row r="8" spans="1:15" ht="16.5" thickTop="1" thickBot="1" x14ac:dyDescent="0.3">
      <c r="A8" s="9"/>
      <c r="B8" s="9"/>
      <c r="C8" s="10" t="s">
        <v>12</v>
      </c>
      <c r="D8" s="11">
        <v>476551</v>
      </c>
      <c r="E8" s="11">
        <v>29399352.330571167</v>
      </c>
      <c r="F8" s="12">
        <v>320524.71000000002</v>
      </c>
      <c r="G8" s="12">
        <v>1103669.1343998972</v>
      </c>
      <c r="H8" s="11">
        <v>6776549.0510707702</v>
      </c>
      <c r="I8" s="13">
        <f>H8/F8</f>
        <v>21.14204877081324</v>
      </c>
      <c r="J8" s="14">
        <f>$I$13*F8-H8</f>
        <v>279185.09422397986</v>
      </c>
      <c r="K8" s="18">
        <f t="shared" ref="K8:K11" si="0">K7</f>
        <v>8.6718562337918232</v>
      </c>
      <c r="L8" s="16">
        <f>K8*$D$15</f>
        <v>2704741.8999664388</v>
      </c>
      <c r="M8" s="16">
        <f t="shared" ref="M8:M11" si="1">H8-L8</f>
        <v>4071807.1511043315</v>
      </c>
      <c r="N8" s="16">
        <f>LINEST('Burdekin DS'!$H$7:$H$11,'Burdekin DS'!$F$7:$F$11)*F8</f>
        <v>3909689.4618229712</v>
      </c>
      <c r="O8" s="17">
        <f>L8+N8-H8</f>
        <v>-162117.68928136025</v>
      </c>
    </row>
    <row r="9" spans="1:15" ht="16.5" thickTop="1" thickBot="1" x14ac:dyDescent="0.3">
      <c r="A9" s="9"/>
      <c r="B9" s="9"/>
      <c r="C9" s="10" t="s">
        <v>13</v>
      </c>
      <c r="D9" s="11">
        <v>362747</v>
      </c>
      <c r="E9" s="11">
        <v>25615135.609999999</v>
      </c>
      <c r="F9" s="12">
        <v>269882.81</v>
      </c>
      <c r="G9" s="12">
        <v>1046022.9133373634</v>
      </c>
      <c r="H9" s="11">
        <v>5850129.5110601662</v>
      </c>
      <c r="I9" s="13">
        <f>H9/F9</f>
        <v>21.676554764863187</v>
      </c>
      <c r="J9" s="14">
        <f>$I$13*F9-H9</f>
        <v>90820.744366616011</v>
      </c>
      <c r="K9" s="18">
        <f t="shared" si="0"/>
        <v>8.6718562337918232</v>
      </c>
      <c r="L9" s="16">
        <f>K9*$D$15</f>
        <v>2704741.8999664388</v>
      </c>
      <c r="M9" s="16">
        <f t="shared" si="1"/>
        <v>3145387.6110937274</v>
      </c>
      <c r="N9" s="16">
        <f>LINEST('Burdekin DS'!$H$7:$H$11,'Burdekin DS'!$F$7:$F$11)*F9</f>
        <v>3291970.775620298</v>
      </c>
      <c r="O9" s="17">
        <f>L9+N9-H9</f>
        <v>146583.16452657059</v>
      </c>
    </row>
    <row r="10" spans="1:15" ht="16.5" thickTop="1" thickBot="1" x14ac:dyDescent="0.3">
      <c r="A10" s="9"/>
      <c r="B10" s="9"/>
      <c r="C10" s="10" t="s">
        <v>14</v>
      </c>
      <c r="D10" s="11">
        <v>284540</v>
      </c>
      <c r="E10" s="11">
        <v>23234194.439999998</v>
      </c>
      <c r="F10" s="12">
        <v>242872.91999999998</v>
      </c>
      <c r="G10" s="12">
        <v>1129942.5543126366</v>
      </c>
      <c r="H10" s="11">
        <v>5519080.323611347</v>
      </c>
      <c r="I10" s="13">
        <f>H10/F10</f>
        <v>22.724148594299223</v>
      </c>
      <c r="J10" s="14">
        <f>$I$13*F10-H10</f>
        <v>-172700.77424231358</v>
      </c>
      <c r="K10" s="18">
        <f t="shared" si="0"/>
        <v>8.6718562337918232</v>
      </c>
      <c r="L10" s="16">
        <f>K10*$D$15</f>
        <v>2704741.8999664388</v>
      </c>
      <c r="M10" s="16">
        <f t="shared" si="1"/>
        <v>2814338.4236449082</v>
      </c>
      <c r="N10" s="16">
        <f>LINEST('Burdekin DS'!$H$7:$H$11,'Burdekin DS'!$F$7:$F$11)*F10</f>
        <v>2962510.1162595963</v>
      </c>
      <c r="O10" s="17">
        <f>L10+N10-H10</f>
        <v>148171.69261468761</v>
      </c>
    </row>
    <row r="11" spans="1:15" ht="16.5" thickTop="1" thickBot="1" x14ac:dyDescent="0.3">
      <c r="A11" s="9"/>
      <c r="B11" s="9"/>
      <c r="C11" s="10" t="s">
        <v>15</v>
      </c>
      <c r="D11" s="11">
        <v>357963</v>
      </c>
      <c r="E11" s="11">
        <v>25826315.840000004</v>
      </c>
      <c r="F11" s="12">
        <v>288891.81</v>
      </c>
      <c r="G11" s="12">
        <v>1099541.0072609931</v>
      </c>
      <c r="H11" s="11">
        <v>5918030.9407797037</v>
      </c>
      <c r="I11" s="13">
        <f>H11/F11</f>
        <v>20.485284580340661</v>
      </c>
      <c r="J11" s="14">
        <f>$I$13*F11-H11</f>
        <v>441365.83743749931</v>
      </c>
      <c r="K11" s="18">
        <f t="shared" si="0"/>
        <v>8.6718562337918232</v>
      </c>
      <c r="L11" s="16">
        <f>K11*$D$15</f>
        <v>2704741.8999664388</v>
      </c>
      <c r="M11" s="16">
        <f t="shared" si="1"/>
        <v>3213289.0408132649</v>
      </c>
      <c r="N11" s="16">
        <f>LINEST('Burdekin DS'!$H$7:$H$11,'Burdekin DS'!$F$7:$F$11)*F11</f>
        <v>3523838.3498232132</v>
      </c>
      <c r="O11" s="17">
        <f>L11+N11-H11</f>
        <v>310549.30900994781</v>
      </c>
    </row>
    <row r="12" spans="1:15" ht="16.5" thickTop="1" thickBot="1" x14ac:dyDescent="0.3">
      <c r="C12" s="10" t="s">
        <v>54</v>
      </c>
      <c r="D12" s="11">
        <v>295519.40000000002</v>
      </c>
      <c r="E12" s="11">
        <v>20406121.719999999</v>
      </c>
      <c r="F12" s="12">
        <v>0</v>
      </c>
      <c r="G12" s="12">
        <v>893886.20281041902</v>
      </c>
      <c r="H12" s="11">
        <v>4729612.1721932301</v>
      </c>
      <c r="I12" s="72"/>
      <c r="J12" s="73"/>
      <c r="K12" s="74"/>
      <c r="L12" s="19"/>
      <c r="M12" s="19"/>
      <c r="N12" s="19"/>
      <c r="O12" s="75"/>
    </row>
    <row r="13" spans="1:15" ht="15.75" thickTop="1" x14ac:dyDescent="0.25">
      <c r="C13" s="20" t="s">
        <v>16</v>
      </c>
      <c r="D13" s="21">
        <f>AVERAGE(D7:D11)</f>
        <v>383697.6</v>
      </c>
      <c r="E13" s="21">
        <f>AVERAGE(E7:E11)</f>
        <v>26452296.975682624</v>
      </c>
      <c r="F13" s="21">
        <f>AVERAGE(F7:F11)</f>
        <v>275563.98599999998</v>
      </c>
      <c r="G13" s="21">
        <f>AVERAGE(G7:G11)</f>
        <v>1096456.3476392808</v>
      </c>
      <c r="H13" s="21">
        <f>AVERAGE(H7:H11)</f>
        <v>6066010.4028601237</v>
      </c>
      <c r="I13" s="22">
        <f>H13/F13</f>
        <v>22.013073953938683</v>
      </c>
      <c r="J13" s="23"/>
      <c r="K13" s="24"/>
      <c r="L13" s="25"/>
      <c r="M13" s="25"/>
      <c r="N13" s="25"/>
      <c r="O13" s="26"/>
    </row>
    <row r="14" spans="1:15" ht="15.75" thickBot="1" x14ac:dyDescent="0.3">
      <c r="C14" s="27"/>
      <c r="D14" s="28"/>
      <c r="E14" s="28"/>
      <c r="F14" s="28"/>
      <c r="G14" s="28"/>
      <c r="H14" s="29"/>
      <c r="I14" s="30"/>
      <c r="J14" s="19"/>
      <c r="K14" s="19"/>
      <c r="L14" s="19"/>
      <c r="M14" s="19"/>
    </row>
    <row r="15" spans="1:15" ht="15.75" thickBot="1" x14ac:dyDescent="0.3">
      <c r="C15" s="31" t="s">
        <v>17</v>
      </c>
      <c r="D15" s="32">
        <v>311898.84000000003</v>
      </c>
      <c r="E15" s="33" t="s">
        <v>18</v>
      </c>
      <c r="F15" s="32">
        <f>F13</f>
        <v>275563.98599999998</v>
      </c>
      <c r="G15" s="28"/>
      <c r="H15" s="29"/>
      <c r="I15" s="30"/>
      <c r="J15" s="19"/>
      <c r="K15" s="19"/>
      <c r="L15" s="19"/>
      <c r="M15" s="19"/>
    </row>
    <row r="17" spans="3:13" x14ac:dyDescent="0.25">
      <c r="C17" s="34"/>
      <c r="D17" s="34" t="s">
        <v>19</v>
      </c>
      <c r="E17" s="34" t="s">
        <v>20</v>
      </c>
      <c r="F17" s="34" t="s">
        <v>21</v>
      </c>
      <c r="I17" s="35"/>
      <c r="J17" s="77" t="s">
        <v>22</v>
      </c>
      <c r="K17" s="77"/>
      <c r="L17" s="77"/>
      <c r="M17" s="77"/>
    </row>
    <row r="18" spans="3:13" ht="45" x14ac:dyDescent="0.25">
      <c r="C18" s="34"/>
      <c r="D18" s="34" t="s">
        <v>23</v>
      </c>
      <c r="E18" s="34" t="s">
        <v>24</v>
      </c>
      <c r="F18" s="34" t="s">
        <v>25</v>
      </c>
      <c r="I18" s="35"/>
      <c r="J18" s="8" t="s">
        <v>7</v>
      </c>
      <c r="K18" s="8" t="s">
        <v>8</v>
      </c>
      <c r="L18" s="8" t="s">
        <v>9</v>
      </c>
      <c r="M18" s="8" t="s">
        <v>10</v>
      </c>
    </row>
    <row r="19" spans="3:13" ht="30.75" thickBot="1" x14ac:dyDescent="0.3">
      <c r="C19" s="36" t="s">
        <v>26</v>
      </c>
      <c r="D19" s="37">
        <v>0</v>
      </c>
      <c r="E19" s="37">
        <f>IF(AND(INTERCEPT(H7:H11,F7:F11)&lt;AVERAGE(H7:H11),INTERCEPT(H7:H11,F7:F11)/D15&gt;0),(INTERCEPT(H7:H11,F7:F11))/D15,AVERAGE(G7:G11)/D15)</f>
        <v>8.6718562337918232</v>
      </c>
      <c r="F19" s="37">
        <v>10.092786420226126</v>
      </c>
      <c r="G19" s="38"/>
      <c r="I19" s="39" t="s">
        <v>11</v>
      </c>
      <c r="J19" s="15">
        <f>F19</f>
        <v>10.092786420226126</v>
      </c>
      <c r="K19" s="16">
        <f>J19*$D$15</f>
        <v>3147928.3768362817</v>
      </c>
      <c r="L19" s="16">
        <f>(IF($E$19=INTERCEPT($H$7:$H$11,$F$7:$F$11)/$D$15,LINEST($M$7:$M$11,$F$7:$F$11),(SUM($M$7:$M$11)/(SUM($F$7:$F$11)))))*F7</f>
        <v>3118333.8109423486</v>
      </c>
      <c r="M19" s="17">
        <f>K19+L19-H7</f>
        <v>0</v>
      </c>
    </row>
    <row r="20" spans="3:13" ht="30.75" thickBot="1" x14ac:dyDescent="0.3">
      <c r="C20" s="36" t="s">
        <v>27</v>
      </c>
      <c r="D20" s="37">
        <f>I13</f>
        <v>22.013073953938683</v>
      </c>
      <c r="E20" s="37">
        <f>IF(E19=INTERCEPT(H7:H11,F7:F11)/D15,LINEST(M7:M11,F7:F11),(SUM(M7:M11)/(SUM(F7:F11))))</f>
        <v>12.197778641849395</v>
      </c>
      <c r="F20" s="37">
        <f>E20</f>
        <v>12.197778641849395</v>
      </c>
      <c r="G20" s="40"/>
      <c r="H20" s="40"/>
      <c r="I20" s="39" t="s">
        <v>12</v>
      </c>
      <c r="J20" s="15">
        <f t="shared" ref="J20:J23" si="2">J19</f>
        <v>10.092786420226126</v>
      </c>
      <c r="K20" s="16">
        <f>J20*$D$15</f>
        <v>3147928.3768362817</v>
      </c>
      <c r="L20" s="16">
        <f t="shared" ref="L20:L23" si="3">(IF($E$19=INTERCEPT($H$7:$H$11,$F$7:$F$11)/$D$15,LINEST($M$7:$M$11,$F$7:$F$11),(SUM($M$7:$M$11)/(SUM($F$7:$F$11)))))*F8</f>
        <v>3909689.4618229712</v>
      </c>
      <c r="M20" s="17">
        <f>K20+L20-H8</f>
        <v>281068.78758848272</v>
      </c>
    </row>
    <row r="21" spans="3:13" ht="30.75" thickBot="1" x14ac:dyDescent="0.3">
      <c r="C21" s="41" t="s">
        <v>50</v>
      </c>
      <c r="D21" s="42">
        <f>MIN(J7:J11)</f>
        <v>-638670.90178577788</v>
      </c>
      <c r="E21" s="42">
        <f>MIN(O7:O11)</f>
        <v>-443186.47686984204</v>
      </c>
      <c r="F21" s="42">
        <f>MIN(M19:M23)</f>
        <v>0</v>
      </c>
      <c r="G21" s="40"/>
      <c r="H21" s="40"/>
      <c r="I21" s="39" t="s">
        <v>13</v>
      </c>
      <c r="J21" s="15">
        <f t="shared" si="2"/>
        <v>10.092786420226126</v>
      </c>
      <c r="K21" s="16">
        <f>J21*$D$15</f>
        <v>3147928.3768362817</v>
      </c>
      <c r="L21" s="16">
        <f t="shared" si="3"/>
        <v>3291970.775620298</v>
      </c>
      <c r="M21" s="17">
        <f>K21+L21-H9</f>
        <v>589769.64139641356</v>
      </c>
    </row>
    <row r="22" spans="3:13" ht="30.75" thickBot="1" x14ac:dyDescent="0.3">
      <c r="C22" s="36" t="s">
        <v>51</v>
      </c>
      <c r="D22" s="42">
        <f>MAX(J7:J11)</f>
        <v>441365.83743749931</v>
      </c>
      <c r="E22" s="43">
        <f>MAX(O7:O11)</f>
        <v>310549.30900994781</v>
      </c>
      <c r="F22" s="43">
        <f>MAX(M19:M23)</f>
        <v>753735.78587979171</v>
      </c>
      <c r="I22" s="39" t="s">
        <v>14</v>
      </c>
      <c r="J22" s="15">
        <f t="shared" si="2"/>
        <v>10.092786420226126</v>
      </c>
      <c r="K22" s="16">
        <f>J22*$D$15</f>
        <v>3147928.3768362817</v>
      </c>
      <c r="L22" s="16">
        <f t="shared" si="3"/>
        <v>2962510.1162595963</v>
      </c>
      <c r="M22" s="17">
        <f>K22+L22-H10</f>
        <v>591358.16948453151</v>
      </c>
    </row>
    <row r="23" spans="3:13" ht="15.75" thickBot="1" x14ac:dyDescent="0.3">
      <c r="C23" s="36" t="s">
        <v>52</v>
      </c>
      <c r="D23" s="43">
        <f>AVERAGE(J7:J11)</f>
        <v>7.4505805969238285E-10</v>
      </c>
      <c r="E23" s="43">
        <f>AVERAGE(O7:O11)</f>
        <v>7.4505805969238285E-10</v>
      </c>
      <c r="F23" s="43">
        <f>AVERAGE(M19:M23)</f>
        <v>443186.4768698439</v>
      </c>
      <c r="I23" s="44" t="s">
        <v>15</v>
      </c>
      <c r="J23" s="45">
        <f t="shared" si="2"/>
        <v>10.092786420226126</v>
      </c>
      <c r="K23" s="46">
        <f>J23*$D$15</f>
        <v>3147928.3768362817</v>
      </c>
      <c r="L23" s="46">
        <f t="shared" si="3"/>
        <v>3523838.3498232132</v>
      </c>
      <c r="M23" s="47">
        <f>K23+L23-H11</f>
        <v>753735.78587979171</v>
      </c>
    </row>
    <row r="26" spans="3:13" x14ac:dyDescent="0.25">
      <c r="C26" t="s">
        <v>55</v>
      </c>
    </row>
  </sheetData>
  <mergeCells count="3">
    <mergeCell ref="K5:O5"/>
    <mergeCell ref="J17:M17"/>
    <mergeCell ref="C4:O4"/>
  </mergeCells>
  <conditionalFormatting sqref="D21:F23">
    <cfRule type="cellIs" dxfId="19" priority="2" operator="lessThan">
      <formula>0</formula>
    </cfRule>
  </conditionalFormatting>
  <conditionalFormatting sqref="J7:J11 O7:O11 M19:M23">
    <cfRule type="cellIs" dxfId="18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O25"/>
  <sheetViews>
    <sheetView topLeftCell="A4" workbookViewId="0">
      <selection activeCell="E19" sqref="E19"/>
    </sheetView>
  </sheetViews>
  <sheetFormatPr defaultRowHeight="15" x14ac:dyDescent="0.25"/>
  <cols>
    <col min="1" max="1" width="10.7109375" bestFit="1" customWidth="1"/>
    <col min="2" max="2" width="9.7109375" bestFit="1" customWidth="1"/>
    <col min="3" max="3" width="16.140625" customWidth="1"/>
    <col min="4" max="4" width="14.5703125" customWidth="1"/>
    <col min="5" max="5" width="17.42578125" customWidth="1"/>
    <col min="6" max="6" width="14.85546875" customWidth="1"/>
    <col min="7" max="7" width="13.7109375" customWidth="1"/>
    <col min="8" max="8" width="15.28515625" customWidth="1"/>
    <col min="9" max="9" width="25.42578125" customWidth="1"/>
    <col min="10" max="10" width="12.140625" customWidth="1"/>
    <col min="11" max="11" width="14.7109375" customWidth="1"/>
    <col min="12" max="12" width="16.85546875" customWidth="1"/>
    <col min="13" max="13" width="21.140625" bestFit="1" customWidth="1"/>
  </cols>
  <sheetData>
    <row r="2" spans="1:15" x14ac:dyDescent="0.25">
      <c r="B2" s="1"/>
    </row>
    <row r="4" spans="1:15" ht="32.25" customHeight="1" x14ac:dyDescent="0.25">
      <c r="C4" s="79" t="s">
        <v>40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5" spans="1:15" ht="40.5" customHeight="1" x14ac:dyDescent="0.25">
      <c r="C5" s="2" t="s">
        <v>48</v>
      </c>
      <c r="D5" s="2"/>
      <c r="E5" s="2"/>
      <c r="F5" s="2"/>
      <c r="G5" s="3"/>
      <c r="H5" s="4" t="s">
        <v>0</v>
      </c>
      <c r="I5" s="77" t="s">
        <v>1</v>
      </c>
      <c r="J5" s="77"/>
      <c r="K5" s="77"/>
      <c r="L5" s="77"/>
    </row>
    <row r="6" spans="1:15" ht="59.25" customHeight="1" x14ac:dyDescent="0.25">
      <c r="C6" s="5" t="s">
        <v>2</v>
      </c>
      <c r="D6" s="5" t="s">
        <v>3</v>
      </c>
      <c r="E6" s="5" t="s">
        <v>31</v>
      </c>
      <c r="F6" s="5" t="s">
        <v>4</v>
      </c>
      <c r="G6" s="6" t="s">
        <v>5</v>
      </c>
      <c r="H6" s="7" t="s">
        <v>6</v>
      </c>
      <c r="I6" s="8" t="s">
        <v>7</v>
      </c>
      <c r="J6" s="8" t="s">
        <v>8</v>
      </c>
      <c r="K6" s="8" t="s">
        <v>9</v>
      </c>
      <c r="L6" s="8" t="s">
        <v>10</v>
      </c>
    </row>
    <row r="7" spans="1:15" ht="15.75" thickBot="1" x14ac:dyDescent="0.3">
      <c r="A7" s="9"/>
      <c r="B7" s="9"/>
      <c r="C7" s="10" t="s">
        <v>11</v>
      </c>
      <c r="D7" s="11">
        <v>316059.05217391101</v>
      </c>
      <c r="E7" s="12">
        <v>22202</v>
      </c>
      <c r="F7" s="11">
        <v>97456.726507596613</v>
      </c>
      <c r="G7" s="13">
        <f t="shared" ref="G7:G12" si="0">F7/E7</f>
        <v>4.3895471807763542</v>
      </c>
      <c r="H7" s="14">
        <f>$G$12*E7-F7</f>
        <v>45731.272240270133</v>
      </c>
      <c r="I7" s="15">
        <f>E18</f>
        <v>2.8697820170189363</v>
      </c>
      <c r="J7" s="16">
        <f>I7*$D$14</f>
        <v>97457.797297963072</v>
      </c>
      <c r="K7" s="13">
        <f>LINEST('Upper Condamine'!$F$7:$F$11,'Upper Condamine'!$E$7:$E$11)*E7</f>
        <v>-1.0276437749544438</v>
      </c>
      <c r="L7" s="17">
        <f>J7+K7-F7</f>
        <v>4.3146591502591036E-2</v>
      </c>
    </row>
    <row r="8" spans="1:15" ht="16.5" thickTop="1" thickBot="1" x14ac:dyDescent="0.3">
      <c r="A8" s="9"/>
      <c r="B8" s="9"/>
      <c r="C8" s="10" t="s">
        <v>12</v>
      </c>
      <c r="D8" s="11">
        <v>316059.05217391101</v>
      </c>
      <c r="E8" s="12">
        <v>20368</v>
      </c>
      <c r="F8" s="11">
        <v>97456.726507596613</v>
      </c>
      <c r="G8" s="13">
        <f t="shared" si="0"/>
        <v>4.7847960775528584</v>
      </c>
      <c r="H8" s="14">
        <f>$G$12*E8-F8</f>
        <v>33903.203160746314</v>
      </c>
      <c r="I8" s="18">
        <f>I7</f>
        <v>2.8697820170189363</v>
      </c>
      <c r="J8" s="16">
        <f>I8*$D$14</f>
        <v>97457.797297963072</v>
      </c>
      <c r="K8" s="16">
        <f>LINEST('Upper Condamine'!$F$7:$F$11,'Upper Condamine'!$E$7:$E$11)*E8</f>
        <v>-0.94275508550005005</v>
      </c>
      <c r="L8" s="17">
        <f>J8+K8-F8</f>
        <v>0.12803528095537331</v>
      </c>
    </row>
    <row r="9" spans="1:15" ht="16.5" thickTop="1" thickBot="1" x14ac:dyDescent="0.3">
      <c r="A9" s="9"/>
      <c r="B9" s="9"/>
      <c r="C9" s="10" t="s">
        <v>13</v>
      </c>
      <c r="D9" s="11">
        <v>316059.05217391101</v>
      </c>
      <c r="E9" s="12">
        <v>8532</v>
      </c>
      <c r="F9" s="11">
        <v>97458.583267596608</v>
      </c>
      <c r="G9" s="13">
        <f t="shared" si="0"/>
        <v>11.422712525503588</v>
      </c>
      <c r="H9" s="14">
        <f>$G$12*E9-F9</f>
        <v>-42432.909665362618</v>
      </c>
      <c r="I9" s="18">
        <f>I8</f>
        <v>2.8697820170189363</v>
      </c>
      <c r="J9" s="16">
        <f>I9*$D$14</f>
        <v>97457.797297963072</v>
      </c>
      <c r="K9" s="16">
        <f>LINEST('Upper Condamine'!$F$7:$F$11,'Upper Condamine'!$E$7:$E$11)*E9</f>
        <v>-0.3949129217147696</v>
      </c>
      <c r="L9" s="17">
        <f>J9+K9-F9</f>
        <v>-1.1808825552579947</v>
      </c>
    </row>
    <row r="10" spans="1:15" ht="16.5" thickTop="1" thickBot="1" x14ac:dyDescent="0.3">
      <c r="A10" s="9"/>
      <c r="B10" s="9"/>
      <c r="C10" s="10" t="s">
        <v>14</v>
      </c>
      <c r="D10" s="11">
        <v>316059.05217391101</v>
      </c>
      <c r="E10" s="12">
        <v>20167</v>
      </c>
      <c r="F10" s="11">
        <v>97456.726507596613</v>
      </c>
      <c r="G10" s="13">
        <f t="shared" si="0"/>
        <v>4.8324850750035511</v>
      </c>
      <c r="H10" s="14">
        <f>$G$12*E10-F10</f>
        <v>32606.88806533505</v>
      </c>
      <c r="I10" s="18">
        <f>I9</f>
        <v>2.8697820170189363</v>
      </c>
      <c r="J10" s="16">
        <f>I10*$D$14</f>
        <v>97457.797297963072</v>
      </c>
      <c r="K10" s="16">
        <f>LINEST('Upper Condamine'!$F$7:$F$11,'Upper Condamine'!$E$7:$E$11)*E10</f>
        <v>-0.93345158136682593</v>
      </c>
      <c r="L10" s="17">
        <f>J10+K10-F10</f>
        <v>0.13733878509083297</v>
      </c>
    </row>
    <row r="11" spans="1:15" ht="16.5" thickTop="1" thickBot="1" x14ac:dyDescent="0.3">
      <c r="A11" s="9"/>
      <c r="B11" s="9"/>
      <c r="C11" s="10" t="s">
        <v>15</v>
      </c>
      <c r="D11" s="11">
        <v>316059.05217391101</v>
      </c>
      <c r="E11" s="12">
        <v>4287</v>
      </c>
      <c r="F11" s="11">
        <v>97456.726507596613</v>
      </c>
      <c r="G11" s="13">
        <f t="shared" si="0"/>
        <v>22.733082926894475</v>
      </c>
      <c r="H11" s="14">
        <f>$G$12*E11-F11</f>
        <v>-69808.453800988878</v>
      </c>
      <c r="I11" s="18">
        <f>I10</f>
        <v>2.8697820170189363</v>
      </c>
      <c r="J11" s="16">
        <f>I11*$D$14</f>
        <v>97457.797297963072</v>
      </c>
      <c r="K11" s="16">
        <f>LINEST('Upper Condamine'!$F$7:$F$11,'Upper Condamine'!$E$7:$E$11)*E11</f>
        <v>-0.19842846875190076</v>
      </c>
      <c r="L11" s="17">
        <f>J11+K11-F11</f>
        <v>0.87236189770919736</v>
      </c>
    </row>
    <row r="12" spans="1:15" ht="15.75" thickTop="1" x14ac:dyDescent="0.25">
      <c r="C12" s="20" t="s">
        <v>16</v>
      </c>
      <c r="D12" s="21">
        <f>AVERAGE(D7:D11)</f>
        <v>316059.05217391101</v>
      </c>
      <c r="E12" s="21">
        <f>AVERAGE(E7:E11)</f>
        <v>15111.2</v>
      </c>
      <c r="F12" s="21">
        <f>AVERAGE(F7:F11)</f>
        <v>97457.097859596615</v>
      </c>
      <c r="G12" s="22">
        <f t="shared" si="0"/>
        <v>6.4493288328919354</v>
      </c>
      <c r="H12" s="23"/>
      <c r="I12" s="24"/>
      <c r="J12" s="25"/>
      <c r="K12" s="25"/>
      <c r="L12" s="26"/>
    </row>
    <row r="13" spans="1:15" ht="15.75" thickBot="1" x14ac:dyDescent="0.3">
      <c r="C13" s="27"/>
      <c r="D13" s="28"/>
      <c r="E13" s="28"/>
      <c r="F13" s="28"/>
      <c r="G13" s="29"/>
      <c r="H13" s="30"/>
      <c r="I13" s="19"/>
      <c r="J13" s="19"/>
      <c r="K13" s="19"/>
      <c r="L13" s="19"/>
    </row>
    <row r="14" spans="1:15" ht="15.75" thickBot="1" x14ac:dyDescent="0.3">
      <c r="C14" s="31" t="s">
        <v>17</v>
      </c>
      <c r="D14" s="32">
        <v>33960</v>
      </c>
      <c r="E14" s="33" t="s">
        <v>18</v>
      </c>
      <c r="F14" s="32">
        <f>E12</f>
        <v>15111.2</v>
      </c>
      <c r="G14" s="28"/>
      <c r="H14" s="29"/>
      <c r="I14" s="30"/>
      <c r="J14" s="19"/>
      <c r="K14" s="19"/>
      <c r="L14" s="19"/>
      <c r="M14" s="19"/>
    </row>
    <row r="16" spans="1:15" x14ac:dyDescent="0.25">
      <c r="C16" s="34"/>
      <c r="D16" s="34" t="s">
        <v>19</v>
      </c>
      <c r="E16" s="34" t="s">
        <v>20</v>
      </c>
      <c r="F16" s="34" t="s">
        <v>21</v>
      </c>
      <c r="I16" s="35"/>
      <c r="J16" s="77" t="s">
        <v>22</v>
      </c>
      <c r="K16" s="77"/>
      <c r="L16" s="77"/>
      <c r="M16" s="77"/>
    </row>
    <row r="17" spans="3:13" ht="45" x14ac:dyDescent="0.25">
      <c r="C17" s="34"/>
      <c r="D17" s="34" t="s">
        <v>23</v>
      </c>
      <c r="E17" s="34" t="s">
        <v>24</v>
      </c>
      <c r="F17" s="34" t="s">
        <v>25</v>
      </c>
      <c r="I17" s="35"/>
      <c r="J17" s="8" t="s">
        <v>7</v>
      </c>
      <c r="K17" s="8" t="s">
        <v>8</v>
      </c>
      <c r="L17" s="8" t="s">
        <v>9</v>
      </c>
      <c r="M17" s="8" t="s">
        <v>10</v>
      </c>
    </row>
    <row r="18" spans="3:13" ht="30.75" thickBot="1" x14ac:dyDescent="0.3">
      <c r="C18" s="36" t="s">
        <v>26</v>
      </c>
      <c r="D18" s="37">
        <v>0</v>
      </c>
      <c r="E18" s="37">
        <f>INTERCEPT(F7:F11,E7:E11)/D14</f>
        <v>2.8697820170189363</v>
      </c>
      <c r="F18" s="37">
        <v>2.869816789767913</v>
      </c>
      <c r="G18" s="38"/>
      <c r="I18" s="39" t="s">
        <v>11</v>
      </c>
      <c r="J18" s="15">
        <f>F18</f>
        <v>2.869816789767913</v>
      </c>
      <c r="K18" s="16">
        <f>J18*$D$14</f>
        <v>97458.97818051833</v>
      </c>
      <c r="L18" s="16">
        <f>LINEST('Upper Condamine'!$F$7:$F$11,'Upper Condamine'!$E$7:$E$11)*E7</f>
        <v>-1.0276437749544438</v>
      </c>
      <c r="M18" s="17">
        <f>K18+L18-F7</f>
        <v>1.2240291467605857</v>
      </c>
    </row>
    <row r="19" spans="3:13" ht="30.75" thickBot="1" x14ac:dyDescent="0.3">
      <c r="C19" s="36" t="s">
        <v>27</v>
      </c>
      <c r="D19" s="37">
        <f>G12</f>
        <v>6.4493288328919354</v>
      </c>
      <c r="E19" s="37">
        <f>LINEST(F7:F11,E7:E11)</f>
        <v>-4.6286090215045663E-5</v>
      </c>
      <c r="F19" s="37">
        <f>E19</f>
        <v>-4.6286090215045663E-5</v>
      </c>
      <c r="G19" s="40"/>
      <c r="H19" s="40"/>
      <c r="I19" s="39" t="s">
        <v>12</v>
      </c>
      <c r="J19" s="15">
        <f>J18</f>
        <v>2.869816789767913</v>
      </c>
      <c r="K19" s="16">
        <f>J19*$D$14</f>
        <v>97458.97818051833</v>
      </c>
      <c r="L19" s="16">
        <f>LINEST('Upper Condamine'!$F$7:$F$11,'Upper Condamine'!$E$7:$E$11)*E8</f>
        <v>-0.94275508550005005</v>
      </c>
      <c r="M19" s="17">
        <f>K19+L19-F8</f>
        <v>1.308917836213368</v>
      </c>
    </row>
    <row r="20" spans="3:13" ht="45.75" thickBot="1" x14ac:dyDescent="0.3">
      <c r="C20" s="41" t="s">
        <v>36</v>
      </c>
      <c r="D20" s="42">
        <f>MIN(H7:H11)</f>
        <v>-69808.453800988878</v>
      </c>
      <c r="E20" s="42">
        <f>MIN(L7:L11)</f>
        <v>-1.1808825552579947</v>
      </c>
      <c r="F20" s="42">
        <f>MIN(M18:M22)</f>
        <v>0</v>
      </c>
      <c r="G20" s="40"/>
      <c r="H20" s="40"/>
      <c r="I20" s="39" t="s">
        <v>13</v>
      </c>
      <c r="J20" s="15">
        <f>J19</f>
        <v>2.869816789767913</v>
      </c>
      <c r="K20" s="16">
        <f>J20*$D$14</f>
        <v>97458.97818051833</v>
      </c>
      <c r="L20" s="16">
        <f>LINEST('Upper Condamine'!$F$7:$F$11,'Upper Condamine'!$E$7:$E$11)*E9</f>
        <v>-0.3949129217147696</v>
      </c>
      <c r="M20" s="17">
        <f>K20+L20-F9</f>
        <v>0</v>
      </c>
    </row>
    <row r="21" spans="3:13" ht="45.75" thickBot="1" x14ac:dyDescent="0.3">
      <c r="C21" s="36" t="s">
        <v>38</v>
      </c>
      <c r="D21" s="42">
        <f>MAX(H7:H11)</f>
        <v>45731.272240270133</v>
      </c>
      <c r="E21" s="43">
        <f>MAX(L7:L11)</f>
        <v>0.87236189770919736</v>
      </c>
      <c r="F21" s="43">
        <f>MAX(M18:M22)</f>
        <v>2.053244452967192</v>
      </c>
      <c r="I21" s="39" t="s">
        <v>14</v>
      </c>
      <c r="J21" s="15">
        <f>J20</f>
        <v>2.869816789767913</v>
      </c>
      <c r="K21" s="16">
        <f>J21*$D$14</f>
        <v>97458.97818051833</v>
      </c>
      <c r="L21" s="16">
        <f>LINEST('Upper Condamine'!$F$7:$F$11,'Upper Condamine'!$E$7:$E$11)*E10</f>
        <v>-0.93345158136682593</v>
      </c>
      <c r="M21" s="17">
        <f>K21+L21-F10</f>
        <v>1.3182213403488277</v>
      </c>
    </row>
    <row r="22" spans="3:13" ht="45.75" thickBot="1" x14ac:dyDescent="0.3">
      <c r="C22" s="36" t="s">
        <v>37</v>
      </c>
      <c r="D22" s="43">
        <f>AVERAGE(H7:H11)</f>
        <v>0</v>
      </c>
      <c r="E22" s="43">
        <f>AVERAGE(L7:L11)</f>
        <v>0</v>
      </c>
      <c r="F22" s="43">
        <f>AVERAGE(M18:M22)</f>
        <v>1.1808825552579947</v>
      </c>
      <c r="I22" s="44" t="s">
        <v>15</v>
      </c>
      <c r="J22" s="45">
        <f>J21</f>
        <v>2.869816789767913</v>
      </c>
      <c r="K22" s="46">
        <f>J22*$D$14</f>
        <v>97458.97818051833</v>
      </c>
      <c r="L22" s="46">
        <f>LINEST('Upper Condamine'!$F$7:$F$11,'Upper Condamine'!$E$7:$E$11)*E11</f>
        <v>-0.19842846875190076</v>
      </c>
      <c r="M22" s="47">
        <f>K22+L22-F11</f>
        <v>2.053244452967192</v>
      </c>
    </row>
    <row r="25" spans="3:13" x14ac:dyDescent="0.25">
      <c r="C25" t="s">
        <v>28</v>
      </c>
    </row>
  </sheetData>
  <mergeCells count="3">
    <mergeCell ref="I5:L5"/>
    <mergeCell ref="J16:M16"/>
    <mergeCell ref="C4:O4"/>
  </mergeCells>
  <conditionalFormatting sqref="D20:F22">
    <cfRule type="cellIs" dxfId="1" priority="2" operator="lessThan">
      <formula>0</formula>
    </cfRule>
  </conditionalFormatting>
  <conditionalFormatting sqref="H7:H11 L7:L11 M18:M22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25"/>
  <sheetViews>
    <sheetView workbookViewId="0">
      <selection activeCell="F6" sqref="F6"/>
    </sheetView>
  </sheetViews>
  <sheetFormatPr defaultRowHeight="15" x14ac:dyDescent="0.25"/>
  <cols>
    <col min="1" max="1" width="10.7109375" bestFit="1" customWidth="1"/>
    <col min="2" max="2" width="9.7109375" bestFit="1" customWidth="1"/>
    <col min="3" max="3" width="16.140625" customWidth="1"/>
    <col min="4" max="4" width="14.5703125" customWidth="1"/>
    <col min="5" max="5" width="17.42578125" customWidth="1"/>
    <col min="6" max="6" width="14.85546875" customWidth="1"/>
    <col min="7" max="7" width="13.7109375" customWidth="1"/>
    <col min="8" max="8" width="15.28515625" customWidth="1"/>
    <col min="9" max="9" width="25.42578125" customWidth="1"/>
    <col min="10" max="10" width="12.140625" customWidth="1"/>
    <col min="11" max="11" width="14.7109375" customWidth="1"/>
    <col min="12" max="12" width="16.85546875" customWidth="1"/>
    <col min="13" max="13" width="21.140625" bestFit="1" customWidth="1"/>
    <col min="14" max="14" width="10.5703125" bestFit="1" customWidth="1"/>
  </cols>
  <sheetData>
    <row r="2" spans="1:16" x14ac:dyDescent="0.25">
      <c r="B2" s="1"/>
    </row>
    <row r="4" spans="1:16" ht="33.75" customHeight="1" x14ac:dyDescent="0.25">
      <c r="C4" s="79" t="s">
        <v>40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5" spans="1:16" ht="40.5" customHeight="1" x14ac:dyDescent="0.25">
      <c r="C5" s="2" t="s">
        <v>39</v>
      </c>
      <c r="D5" s="2"/>
      <c r="E5" s="2"/>
      <c r="F5" s="2"/>
      <c r="G5" s="2"/>
      <c r="H5" s="3"/>
      <c r="I5" s="4" t="s">
        <v>0</v>
      </c>
      <c r="J5" s="76" t="s">
        <v>1</v>
      </c>
      <c r="K5" s="77"/>
      <c r="L5" s="77"/>
      <c r="M5" s="77"/>
      <c r="N5" s="77"/>
    </row>
    <row r="6" spans="1:16" ht="59.25" customHeight="1" x14ac:dyDescent="0.25">
      <c r="C6" s="5" t="s">
        <v>2</v>
      </c>
      <c r="D6" s="5" t="s">
        <v>3</v>
      </c>
      <c r="E6" s="5" t="s">
        <v>31</v>
      </c>
      <c r="F6" s="5" t="s">
        <v>33</v>
      </c>
      <c r="G6" s="5" t="s">
        <v>4</v>
      </c>
      <c r="H6" s="6" t="s">
        <v>5</v>
      </c>
      <c r="I6" s="7" t="s">
        <v>6</v>
      </c>
      <c r="J6" s="8" t="s">
        <v>7</v>
      </c>
      <c r="K6" s="8" t="s">
        <v>8</v>
      </c>
      <c r="L6" s="8" t="s">
        <v>34</v>
      </c>
      <c r="M6" s="8" t="s">
        <v>9</v>
      </c>
      <c r="N6" s="8" t="s">
        <v>10</v>
      </c>
    </row>
    <row r="7" spans="1:16" ht="15.75" thickBot="1" x14ac:dyDescent="0.3">
      <c r="A7" s="9"/>
      <c r="B7" s="9"/>
      <c r="C7" s="10" t="s">
        <v>11</v>
      </c>
      <c r="D7" s="11">
        <v>85307.6</v>
      </c>
      <c r="E7" s="12">
        <v>41058</v>
      </c>
      <c r="F7" s="12">
        <v>1305.7374319999999</v>
      </c>
      <c r="G7" s="11">
        <v>36568.876392000006</v>
      </c>
      <c r="H7" s="13">
        <f t="shared" ref="H7:H12" si="0">G7/E7</f>
        <v>0.89066385094256917</v>
      </c>
      <c r="I7" s="14">
        <f>$H$12*E7-G7</f>
        <v>-14493.813415205343</v>
      </c>
      <c r="J7" s="15">
        <f>E18</f>
        <v>2.1240519856811961E-2</v>
      </c>
      <c r="K7" s="16">
        <f>J7*$D$14</f>
        <v>1311.3259744</v>
      </c>
      <c r="L7" s="16">
        <f>G7-K7</f>
        <v>35257.550417600003</v>
      </c>
      <c r="M7" s="13">
        <f>(IF($E$18=INTERCEPT($G$7:$G$11,$E$7:$E$11)/$D$14,LINEST($L$7:$L$11,$E$7:$E$11),(SUM($L$7:$L$11)/(SUM($E$7:$E$11)))))*E7</f>
        <v>20843.118197487802</v>
      </c>
      <c r="N7" s="17">
        <f>K7+M7-G7</f>
        <v>-14414.432220112205</v>
      </c>
      <c r="P7" s="68"/>
    </row>
    <row r="8" spans="1:16" ht="16.5" thickTop="1" thickBot="1" x14ac:dyDescent="0.3">
      <c r="A8" s="9"/>
      <c r="B8" s="9"/>
      <c r="C8" s="10" t="s">
        <v>12</v>
      </c>
      <c r="D8" s="11">
        <v>49544</v>
      </c>
      <c r="E8" s="12">
        <v>43253</v>
      </c>
      <c r="F8" s="12">
        <v>1311.8245999999999</v>
      </c>
      <c r="G8" s="11">
        <v>21784.926779999998</v>
      </c>
      <c r="H8" s="13">
        <f t="shared" si="0"/>
        <v>0.50366279286985871</v>
      </c>
      <c r="I8" s="14">
        <f>$H$12*E8-G8</f>
        <v>1470.2902041516791</v>
      </c>
      <c r="J8" s="18">
        <f>J7</f>
        <v>2.1240519856811961E-2</v>
      </c>
      <c r="K8" s="16">
        <f>J8*$D$14</f>
        <v>1311.3259744</v>
      </c>
      <c r="L8" s="16">
        <f>G8-K8</f>
        <v>20473.600805599999</v>
      </c>
      <c r="M8" s="13">
        <f>(IF($E$18=INTERCEPT($G$7:$G$11,$E$7:$E$11)/$D$14,LINEST($L$7:$L$11,$E$7:$E$11),(SUM($L$7:$L$11)/(SUM($E$7:$E$11)))))*E8</f>
        <v>21957.41125714696</v>
      </c>
      <c r="N8" s="17">
        <f>K8+M8-G8</f>
        <v>1483.8104515469604</v>
      </c>
      <c r="P8" s="68"/>
    </row>
    <row r="9" spans="1:16" ht="16.5" thickTop="1" thickBot="1" x14ac:dyDescent="0.3">
      <c r="A9" s="9"/>
      <c r="B9" s="9"/>
      <c r="C9" s="10" t="s">
        <v>13</v>
      </c>
      <c r="D9" s="11">
        <v>56853</v>
      </c>
      <c r="E9" s="12">
        <v>39818</v>
      </c>
      <c r="F9" s="12">
        <v>1317.95496</v>
      </c>
      <c r="G9" s="11">
        <v>24813.694090000005</v>
      </c>
      <c r="H9" s="13">
        <f t="shared" si="0"/>
        <v>0.62317781129137584</v>
      </c>
      <c r="I9" s="14">
        <f>$H$12*E9-G9</f>
        <v>-3405.3240376348149</v>
      </c>
      <c r="J9" s="18">
        <f>J8</f>
        <v>2.1240519856811961E-2</v>
      </c>
      <c r="K9" s="16">
        <f>J9*$D$14</f>
        <v>1311.3259744</v>
      </c>
      <c r="L9" s="16">
        <f>G9-K9</f>
        <v>23502.368115600006</v>
      </c>
      <c r="M9" s="13">
        <f>(IF($E$18=INTERCEPT($G$7:$G$11,$E$7:$E$11)/$D$14,LINEST($L$7:$L$11,$E$7:$E$11),(SUM($L$7:$L$11)/(SUM($E$7:$E$11)))))*E9</f>
        <v>20213.631457634794</v>
      </c>
      <c r="N9" s="17">
        <f>K9+M9-G9</f>
        <v>-3288.7366579652116</v>
      </c>
      <c r="P9" s="68"/>
    </row>
    <row r="10" spans="1:16" ht="16.5" thickTop="1" thickBot="1" x14ac:dyDescent="0.3">
      <c r="A10" s="9"/>
      <c r="B10" s="9"/>
      <c r="C10" s="10" t="s">
        <v>14</v>
      </c>
      <c r="D10" s="11">
        <v>45764</v>
      </c>
      <c r="E10" s="12">
        <v>39185</v>
      </c>
      <c r="F10" s="12">
        <v>1310.13372</v>
      </c>
      <c r="G10" s="11">
        <v>20220.016899999999</v>
      </c>
      <c r="H10" s="13">
        <f t="shared" si="0"/>
        <v>0.51601421207094544</v>
      </c>
      <c r="I10" s="14">
        <f>$H$12*E10-G10</f>
        <v>848.01716755562666</v>
      </c>
      <c r="J10" s="18">
        <f>J9</f>
        <v>2.1240519856811961E-2</v>
      </c>
      <c r="K10" s="16">
        <f>J10*$D$14</f>
        <v>1311.3259744</v>
      </c>
      <c r="L10" s="16">
        <f>G10-K10</f>
        <v>18908.6909256</v>
      </c>
      <c r="M10" s="13">
        <f>(IF($E$18=INTERCEPT($G$7:$G$11,$E$7:$E$11)/$D$14,LINEST($L$7:$L$11,$E$7:$E$11),(SUM($L$7:$L$11)/(SUM($E$7:$E$11)))))*E10</f>
        <v>19892.288629951763</v>
      </c>
      <c r="N10" s="17">
        <f>K10+M10-G10</f>
        <v>983.59770435176324</v>
      </c>
      <c r="P10" s="68"/>
    </row>
    <row r="11" spans="1:16" ht="16.5" thickTop="1" thickBot="1" x14ac:dyDescent="0.3">
      <c r="A11" s="9"/>
      <c r="B11" s="9"/>
      <c r="C11" s="10" t="s">
        <v>15</v>
      </c>
      <c r="D11" s="11">
        <v>30963</v>
      </c>
      <c r="E11" s="12">
        <v>55204</v>
      </c>
      <c r="F11" s="12">
        <v>1310.9791599999999</v>
      </c>
      <c r="G11" s="11">
        <v>14099.908789999999</v>
      </c>
      <c r="H11" s="13">
        <f t="shared" si="0"/>
        <v>0.25541462194768494</v>
      </c>
      <c r="I11" s="14">
        <f>$H$12*E11-G11</f>
        <v>15580.830081132854</v>
      </c>
      <c r="J11" s="18">
        <f>J10</f>
        <v>2.1240519856811961E-2</v>
      </c>
      <c r="K11" s="16">
        <f>J11*$D$14</f>
        <v>1311.3259744</v>
      </c>
      <c r="L11" s="16">
        <f>G11-K11</f>
        <v>12788.582815599999</v>
      </c>
      <c r="M11" s="13">
        <f>(IF($E$18=INTERCEPT($G$7:$G$11,$E$7:$E$11)/$D$14,LINEST($L$7:$L$11,$E$7:$E$11),(SUM($L$7:$L$11)/(SUM($E$7:$E$11)))))*E11</f>
        <v>28024.34353777867</v>
      </c>
      <c r="N11" s="17">
        <f>K11+M11-G11</f>
        <v>15235.760722178669</v>
      </c>
      <c r="P11" s="68"/>
    </row>
    <row r="12" spans="1:16" ht="15.75" thickTop="1" x14ac:dyDescent="0.25">
      <c r="C12" s="20" t="s">
        <v>16</v>
      </c>
      <c r="D12" s="21">
        <f>AVERAGE(D7:D11)</f>
        <v>53686.319999999992</v>
      </c>
      <c r="E12" s="21">
        <f>AVERAGE(E7:E11)</f>
        <v>43703.6</v>
      </c>
      <c r="F12" s="21">
        <f>AVERAGE(F7:F11)</f>
        <v>1311.3259744</v>
      </c>
      <c r="G12" s="21">
        <f>AVERAGE(G7:G11)</f>
        <v>23497.484590400003</v>
      </c>
      <c r="H12" s="22">
        <f t="shared" si="0"/>
        <v>0.53765558421731852</v>
      </c>
      <c r="I12" s="23"/>
      <c r="J12" s="24"/>
      <c r="K12" s="25"/>
      <c r="L12" s="25"/>
      <c r="M12" s="25"/>
      <c r="N12" s="26"/>
    </row>
    <row r="13" spans="1:16" ht="15.75" thickBot="1" x14ac:dyDescent="0.3">
      <c r="C13" s="27"/>
      <c r="D13" s="28"/>
      <c r="E13" s="28"/>
      <c r="F13" s="28"/>
      <c r="G13" s="29"/>
      <c r="H13" s="30"/>
      <c r="I13" s="19"/>
      <c r="J13" s="19"/>
      <c r="K13" s="19"/>
      <c r="L13" s="19"/>
    </row>
    <row r="14" spans="1:16" ht="15.75" thickBot="1" x14ac:dyDescent="0.3">
      <c r="C14" s="31" t="s">
        <v>17</v>
      </c>
      <c r="D14" s="32">
        <v>61737</v>
      </c>
      <c r="E14" s="33" t="s">
        <v>18</v>
      </c>
      <c r="F14" s="32">
        <f>E12</f>
        <v>43703.6</v>
      </c>
      <c r="G14" s="28"/>
      <c r="H14" s="29"/>
      <c r="I14" s="30"/>
      <c r="J14" s="19"/>
      <c r="K14" s="19"/>
      <c r="L14" s="19"/>
      <c r="M14" s="19"/>
    </row>
    <row r="16" spans="1:16" x14ac:dyDescent="0.25">
      <c r="C16" s="34"/>
      <c r="D16" s="34" t="s">
        <v>19</v>
      </c>
      <c r="E16" s="34" t="s">
        <v>20</v>
      </c>
      <c r="F16" s="34" t="s">
        <v>21</v>
      </c>
      <c r="I16" s="35"/>
      <c r="J16" s="77" t="s">
        <v>22</v>
      </c>
      <c r="K16" s="77"/>
      <c r="L16" s="77"/>
      <c r="M16" s="77"/>
    </row>
    <row r="17" spans="3:13" ht="45" x14ac:dyDescent="0.25">
      <c r="C17" s="34"/>
      <c r="D17" s="34" t="s">
        <v>23</v>
      </c>
      <c r="E17" s="34" t="s">
        <v>24</v>
      </c>
      <c r="F17" s="34" t="s">
        <v>25</v>
      </c>
      <c r="I17" s="35"/>
      <c r="J17" s="8" t="s">
        <v>7</v>
      </c>
      <c r="K17" s="8" t="s">
        <v>8</v>
      </c>
      <c r="L17" s="8" t="s">
        <v>9</v>
      </c>
      <c r="M17" s="8" t="s">
        <v>10</v>
      </c>
    </row>
    <row r="18" spans="3:13" ht="30.75" thickBot="1" x14ac:dyDescent="0.3">
      <c r="C18" s="36" t="s">
        <v>26</v>
      </c>
      <c r="D18" s="37">
        <v>0</v>
      </c>
      <c r="E18" s="37">
        <f>IF(AND(INTERCEPT(G7:G11,E7:E11)&lt;AVERAGE(G7:G11),INTERCEPT(G7:G11,E7:E11)/D14&gt;0),(INTERCEPT(G7:G11,E7:E11))/D14,AVERAGE(F7:F11)/D14)</f>
        <v>2.1240519856811961E-2</v>
      </c>
      <c r="F18" s="37">
        <v>0.25472177453572747</v>
      </c>
      <c r="G18" s="38"/>
      <c r="I18" s="39" t="s">
        <v>11</v>
      </c>
      <c r="J18" s="15">
        <f>F18</f>
        <v>0.25472177453572747</v>
      </c>
      <c r="K18" s="16">
        <f>J18*$D$14</f>
        <v>15725.758194512207</v>
      </c>
      <c r="L18" s="13">
        <f>(IF($E$18=INTERCEPT($G$7:$G$11,$E$7:$E$11)/$D$14,LINEST($L$7:$L$11,$E$7:$E$11),(SUM($L$7:$L$11)/(SUM($E$7:$E$11)))))*E7</f>
        <v>20843.118197487802</v>
      </c>
      <c r="M18" s="17">
        <f>K18+L18-G7</f>
        <v>0</v>
      </c>
    </row>
    <row r="19" spans="3:13" ht="30.75" thickBot="1" x14ac:dyDescent="0.3">
      <c r="C19" s="36" t="s">
        <v>27</v>
      </c>
      <c r="D19" s="37">
        <f>H12</f>
        <v>0.53765558421731852</v>
      </c>
      <c r="E19" s="37">
        <f>IF(E18=INTERCEPT(G7:G11,E7:E11)/D14,LINEST(L7:L11,E7:E11),(SUM(L7:L11)/(SUM(E7:E11))))</f>
        <v>0.50765059665565304</v>
      </c>
      <c r="F19" s="37">
        <f>E19</f>
        <v>0.50765059665565304</v>
      </c>
      <c r="G19" s="40"/>
      <c r="H19" s="40"/>
      <c r="I19" s="39" t="s">
        <v>12</v>
      </c>
      <c r="J19" s="15">
        <f>J18</f>
        <v>0.25472177453572747</v>
      </c>
      <c r="K19" s="16">
        <f>J19*$D$14</f>
        <v>15725.758194512207</v>
      </c>
      <c r="L19" s="13">
        <f>(IF($E$18=INTERCEPT($G$7:$G$11,$E$7:$E$11)/$D$14,LINEST($L$7:$L$11,$E$7:$E$11),(SUM($L$7:$L$11)/(SUM($E$7:$E$11)))))*E8</f>
        <v>21957.41125714696</v>
      </c>
      <c r="M19" s="17">
        <f>K19+L19-G8</f>
        <v>15898.242671659169</v>
      </c>
    </row>
    <row r="20" spans="3:13" ht="45.75" thickBot="1" x14ac:dyDescent="0.3">
      <c r="C20" s="41" t="s">
        <v>36</v>
      </c>
      <c r="D20" s="42">
        <f>MIN(I7:I11)</f>
        <v>-14493.813415205343</v>
      </c>
      <c r="E20" s="42">
        <f>MIN(N7:N11)</f>
        <v>-14414.432220112205</v>
      </c>
      <c r="F20" s="42">
        <f>MIN(M18:M22)</f>
        <v>0</v>
      </c>
      <c r="G20" s="40"/>
      <c r="H20" s="40"/>
      <c r="I20" s="39" t="s">
        <v>13</v>
      </c>
      <c r="J20" s="15">
        <f>J19</f>
        <v>0.25472177453572747</v>
      </c>
      <c r="K20" s="16">
        <f>J20*$D$14</f>
        <v>15725.758194512207</v>
      </c>
      <c r="L20" s="13">
        <f>(IF($E$18=INTERCEPT($G$7:$G$11,$E$7:$E$11)/$D$14,LINEST($L$7:$L$11,$E$7:$E$11),(SUM($L$7:$L$11)/(SUM($E$7:$E$11)))))*E9</f>
        <v>20213.631457634794</v>
      </c>
      <c r="M20" s="17">
        <f>K20+L20-G9</f>
        <v>11125.695562146997</v>
      </c>
    </row>
    <row r="21" spans="3:13" ht="45.75" thickBot="1" x14ac:dyDescent="0.3">
      <c r="C21" s="36" t="s">
        <v>38</v>
      </c>
      <c r="D21" s="42">
        <f>MAX(I7:I11)</f>
        <v>15580.830081132854</v>
      </c>
      <c r="E21" s="43">
        <f>MAX(N7:N11)</f>
        <v>15235.760722178669</v>
      </c>
      <c r="F21" s="43">
        <f>MAX(M18:M22)</f>
        <v>29650.192942290872</v>
      </c>
      <c r="I21" s="39" t="s">
        <v>14</v>
      </c>
      <c r="J21" s="15">
        <f>J20</f>
        <v>0.25472177453572747</v>
      </c>
      <c r="K21" s="16">
        <f>J21*$D$14</f>
        <v>15725.758194512207</v>
      </c>
      <c r="L21" s="13">
        <f>(IF($E$18=INTERCEPT($G$7:$G$11,$E$7:$E$11)/$D$14,LINEST($L$7:$L$11,$E$7:$E$11),(SUM($L$7:$L$11)/(SUM($E$7:$E$11)))))*E10</f>
        <v>19892.288629951763</v>
      </c>
      <c r="M21" s="17">
        <f>K21+L21-G10</f>
        <v>15398.029924463972</v>
      </c>
    </row>
    <row r="22" spans="3:13" ht="45.75" thickBot="1" x14ac:dyDescent="0.3">
      <c r="C22" s="36" t="s">
        <v>37</v>
      </c>
      <c r="D22" s="43">
        <f>AVERAGE(I7:I11)</f>
        <v>0</v>
      </c>
      <c r="E22" s="43">
        <f>AVERAGE(N7:N11)</f>
        <v>-4.729372449219227E-12</v>
      </c>
      <c r="F22" s="43">
        <f>AVERAGE(M18:M22)</f>
        <v>14414.432220112201</v>
      </c>
      <c r="I22" s="44" t="s">
        <v>15</v>
      </c>
      <c r="J22" s="45">
        <f>J21</f>
        <v>0.25472177453572747</v>
      </c>
      <c r="K22" s="46">
        <f>J22*$D$14</f>
        <v>15725.758194512207</v>
      </c>
      <c r="L22" s="70">
        <f>(IF($E$18=INTERCEPT($G$7:$G$11,$E$7:$E$11)/$D$14,LINEST($L$7:$L$11,$E$7:$E$11),(SUM($L$7:$L$11)/(SUM($E$7:$E$11)))))*E11</f>
        <v>28024.34353777867</v>
      </c>
      <c r="M22" s="47">
        <f>K22+L22-G11</f>
        <v>29650.192942290872</v>
      </c>
    </row>
    <row r="25" spans="3:13" x14ac:dyDescent="0.25">
      <c r="C25" t="s">
        <v>28</v>
      </c>
    </row>
  </sheetData>
  <mergeCells count="3">
    <mergeCell ref="J5:N5"/>
    <mergeCell ref="J16:M16"/>
    <mergeCell ref="C4:O4"/>
  </mergeCells>
  <conditionalFormatting sqref="D20:F22">
    <cfRule type="cellIs" dxfId="17" priority="2" operator="lessThan">
      <formula>0</formula>
    </cfRule>
  </conditionalFormatting>
  <conditionalFormatting sqref="I7:I11 N7:N11 M18:M22">
    <cfRule type="cellIs" dxfId="16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O25"/>
  <sheetViews>
    <sheetView workbookViewId="0">
      <selection activeCell="C4" sqref="C4:O4"/>
    </sheetView>
  </sheetViews>
  <sheetFormatPr defaultRowHeight="15" x14ac:dyDescent="0.25"/>
  <cols>
    <col min="1" max="1" width="10.7109375" bestFit="1" customWidth="1"/>
    <col min="2" max="2" width="9.7109375" bestFit="1" customWidth="1"/>
    <col min="3" max="3" width="16.140625" customWidth="1"/>
    <col min="4" max="4" width="14.5703125" customWidth="1"/>
    <col min="5" max="5" width="17.42578125" customWidth="1"/>
    <col min="6" max="6" width="14.85546875" customWidth="1"/>
    <col min="7" max="7" width="13.7109375" customWidth="1"/>
    <col min="8" max="8" width="15.28515625" customWidth="1"/>
    <col min="9" max="9" width="25.42578125" customWidth="1"/>
    <col min="10" max="10" width="12.140625" customWidth="1"/>
    <col min="11" max="11" width="14.7109375" customWidth="1"/>
    <col min="12" max="12" width="16.85546875" customWidth="1"/>
    <col min="13" max="13" width="21.140625" bestFit="1" customWidth="1"/>
    <col min="14" max="14" width="13.28515625" bestFit="1" customWidth="1"/>
  </cols>
  <sheetData>
    <row r="2" spans="1:15" x14ac:dyDescent="0.25">
      <c r="B2" s="1"/>
    </row>
    <row r="4" spans="1:15" ht="32.25" customHeight="1" x14ac:dyDescent="0.25">
      <c r="C4" s="79" t="s">
        <v>40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5" spans="1:15" ht="40.5" customHeight="1" x14ac:dyDescent="0.25">
      <c r="C5" s="2" t="s">
        <v>41</v>
      </c>
      <c r="D5" s="2"/>
      <c r="E5" s="2"/>
      <c r="F5" s="2"/>
      <c r="G5" s="2"/>
      <c r="H5" s="3"/>
      <c r="I5" s="4" t="s">
        <v>0</v>
      </c>
      <c r="J5" s="76" t="s">
        <v>1</v>
      </c>
      <c r="K5" s="77"/>
      <c r="L5" s="77"/>
      <c r="M5" s="77"/>
      <c r="N5" s="77"/>
    </row>
    <row r="6" spans="1:15" ht="59.25" customHeight="1" x14ac:dyDescent="0.25">
      <c r="C6" s="5" t="s">
        <v>2</v>
      </c>
      <c r="D6" s="5" t="s">
        <v>30</v>
      </c>
      <c r="E6" s="5" t="s">
        <v>31</v>
      </c>
      <c r="F6" s="5" t="s">
        <v>32</v>
      </c>
      <c r="G6" s="5" t="s">
        <v>4</v>
      </c>
      <c r="H6" s="6" t="s">
        <v>5</v>
      </c>
      <c r="I6" s="7" t="s">
        <v>6</v>
      </c>
      <c r="J6" s="8" t="s">
        <v>7</v>
      </c>
      <c r="K6" s="8" t="s">
        <v>8</v>
      </c>
      <c r="L6" s="8" t="s">
        <v>34</v>
      </c>
      <c r="M6" s="8" t="s">
        <v>9</v>
      </c>
      <c r="N6" s="8" t="s">
        <v>10</v>
      </c>
    </row>
    <row r="7" spans="1:15" ht="15.75" thickBot="1" x14ac:dyDescent="0.3">
      <c r="A7" s="9"/>
      <c r="B7" s="9"/>
      <c r="C7" s="49" t="s">
        <v>11</v>
      </c>
      <c r="D7" s="11">
        <v>23895639.049327102</v>
      </c>
      <c r="E7" s="50">
        <v>133309</v>
      </c>
      <c r="F7" s="50">
        <v>589172.58726887056</v>
      </c>
      <c r="G7" s="11">
        <v>8857048.380216578</v>
      </c>
      <c r="H7" s="51">
        <f t="shared" ref="H7:H12" si="0">G7/E7</f>
        <v>66.439988149461612</v>
      </c>
      <c r="I7" s="52">
        <f>$H$12*E7-G7</f>
        <v>528467.19708712585</v>
      </c>
      <c r="J7" s="53">
        <f>E18</f>
        <v>8.7425240338381514</v>
      </c>
      <c r="K7" s="54">
        <f>J7*$D$14</f>
        <v>1377690.649872385</v>
      </c>
      <c r="L7" s="54">
        <f>G7-K7</f>
        <v>7479357.7303441931</v>
      </c>
      <c r="M7" s="54">
        <f>(IF($E$18=INTERCEPT($G$7:$G$11,$E$7:$E$11)/$D$14,LINEST($L$7:$L$11,$E$7:$E$11),(SUM($L$7:$L$11)/(SUM($E$7:$E$11)))))*E7</f>
        <v>7573114.6271442566</v>
      </c>
      <c r="N7" s="55">
        <f>K7+M7-G7</f>
        <v>93756.89680006355</v>
      </c>
    </row>
    <row r="8" spans="1:15" ht="16.5" thickTop="1" thickBot="1" x14ac:dyDescent="0.3">
      <c r="A8" s="9"/>
      <c r="B8" s="9"/>
      <c r="C8" s="49" t="s">
        <v>12</v>
      </c>
      <c r="D8" s="11">
        <v>14664600.393690245</v>
      </c>
      <c r="E8" s="50">
        <v>82949</v>
      </c>
      <c r="F8" s="50">
        <v>589725.6542836139</v>
      </c>
      <c r="G8" s="11">
        <v>5833122.9442257527</v>
      </c>
      <c r="H8" s="51">
        <f t="shared" si="0"/>
        <v>70.321799469864047</v>
      </c>
      <c r="I8" s="52">
        <f>$H$12*E8-G8</f>
        <v>6836.3355060359463</v>
      </c>
      <c r="J8" s="56">
        <f>J7</f>
        <v>8.7425240338381514</v>
      </c>
      <c r="K8" s="54">
        <f>J8*$D$14</f>
        <v>1377690.649872385</v>
      </c>
      <c r="L8" s="54">
        <f>G8-K8</f>
        <v>4455432.2943533678</v>
      </c>
      <c r="M8" s="54">
        <f>(IF($E$18=INTERCEPT($G$7:$G$11,$E$7:$E$11)/$D$14,LINEST($L$7:$L$11,$E$7:$E$11),(SUM($L$7:$L$11)/(SUM($E$7:$E$11)))))*E8</f>
        <v>4712227.1205019085</v>
      </c>
      <c r="N8" s="55">
        <f>K8+M8-G8</f>
        <v>256794.82614854071</v>
      </c>
    </row>
    <row r="9" spans="1:15" ht="16.5" thickTop="1" thickBot="1" x14ac:dyDescent="0.3">
      <c r="A9" s="9"/>
      <c r="B9" s="9"/>
      <c r="C9" s="49" t="s">
        <v>13</v>
      </c>
      <c r="D9" s="11">
        <v>18232555.964755367</v>
      </c>
      <c r="E9" s="50">
        <v>101701</v>
      </c>
      <c r="F9" s="50">
        <v>589861.57762706385</v>
      </c>
      <c r="G9" s="11">
        <v>7059271.0694239149</v>
      </c>
      <c r="H9" s="51">
        <f t="shared" si="0"/>
        <v>69.412012363928724</v>
      </c>
      <c r="I9" s="52">
        <f>$H$12*E9-G9</f>
        <v>100908.06122265849</v>
      </c>
      <c r="J9" s="56">
        <f>J8</f>
        <v>8.7425240338381514</v>
      </c>
      <c r="K9" s="54">
        <f>J9*$D$14</f>
        <v>1377690.649872385</v>
      </c>
      <c r="L9" s="54">
        <f>G9-K9</f>
        <v>5681580.4195515299</v>
      </c>
      <c r="M9" s="54">
        <f>(IF($E$18=INTERCEPT($G$7:$G$11,$E$7:$E$11)/$D$14,LINEST($L$7:$L$11,$E$7:$E$11),(SUM($L$7:$L$11)/(SUM($E$7:$E$11)))))*E9</f>
        <v>5777504.3747623796</v>
      </c>
      <c r="N9" s="55">
        <f>K9+M9-G9</f>
        <v>95923.955210849643</v>
      </c>
    </row>
    <row r="10" spans="1:15" ht="16.5" thickTop="1" thickBot="1" x14ac:dyDescent="0.3">
      <c r="A10" s="9"/>
      <c r="B10" s="9"/>
      <c r="C10" s="49" t="s">
        <v>14</v>
      </c>
      <c r="D10" s="11">
        <v>20827758.225841887</v>
      </c>
      <c r="E10" s="50">
        <v>110266</v>
      </c>
      <c r="F10" s="50">
        <v>589298.80713887059</v>
      </c>
      <c r="G10" s="11">
        <v>7909853.0663642446</v>
      </c>
      <c r="H10" s="51">
        <f t="shared" si="0"/>
        <v>71.734288596341983</v>
      </c>
      <c r="I10" s="52">
        <f>$H$12*E10-G10</f>
        <v>-146661.82911116816</v>
      </c>
      <c r="J10" s="56">
        <f>J9</f>
        <v>8.7425240338381514</v>
      </c>
      <c r="K10" s="54">
        <f>J10*$D$14</f>
        <v>1377690.649872385</v>
      </c>
      <c r="L10" s="54">
        <f>G10-K10</f>
        <v>6532162.4164918596</v>
      </c>
      <c r="M10" s="54">
        <f>(IF($E$18=INTERCEPT($G$7:$G$11,$E$7:$E$11)/$D$14,LINEST($L$7:$L$11,$E$7:$E$11),(SUM($L$7:$L$11)/(SUM($E$7:$E$11)))))*E10</f>
        <v>6264071.1240553046</v>
      </c>
      <c r="N10" s="55">
        <f>K10+M10-G10</f>
        <v>-268091.29243655503</v>
      </c>
    </row>
    <row r="11" spans="1:15" ht="16.5" thickTop="1" thickBot="1" x14ac:dyDescent="0.3">
      <c r="A11" s="9"/>
      <c r="B11" s="9"/>
      <c r="C11" s="49" t="s">
        <v>15</v>
      </c>
      <c r="D11" s="11">
        <v>15263323.87584189</v>
      </c>
      <c r="E11" s="50">
        <v>78447</v>
      </c>
      <c r="F11" s="50">
        <v>589180.23265887052</v>
      </c>
      <c r="G11" s="11">
        <v>6012549.2658091839</v>
      </c>
      <c r="H11" s="51">
        <f t="shared" si="0"/>
        <v>76.6447316762806</v>
      </c>
      <c r="I11" s="52">
        <f>$H$12*E11-G11</f>
        <v>-489549.76470465399</v>
      </c>
      <c r="J11" s="56">
        <f>J10</f>
        <v>8.7425240338381514</v>
      </c>
      <c r="K11" s="54">
        <f>J11*$D$14</f>
        <v>1377690.649872385</v>
      </c>
      <c r="L11" s="54">
        <f>G11-K11</f>
        <v>4634858.615936799</v>
      </c>
      <c r="M11" s="54">
        <f>(IF($E$18=INTERCEPT($G$7:$G$11,$E$7:$E$11)/$D$14,LINEST($L$7:$L$11,$E$7:$E$11),(SUM($L$7:$L$11)/(SUM($E$7:$E$11)))))*E11</f>
        <v>4456474.2302139048</v>
      </c>
      <c r="N11" s="55">
        <f>K11+M11-G11</f>
        <v>-178384.38572289422</v>
      </c>
    </row>
    <row r="12" spans="1:15" ht="15.75" thickTop="1" x14ac:dyDescent="0.25">
      <c r="C12" s="20" t="s">
        <v>16</v>
      </c>
      <c r="D12" s="21">
        <f>AVERAGE(D7:D11)</f>
        <v>18576775.501891296</v>
      </c>
      <c r="E12" s="21">
        <f>AVERAGE(E7:E11)</f>
        <v>101334.39999999999</v>
      </c>
      <c r="F12" s="21">
        <f>AVERAGE(F7:F11)</f>
        <v>589447.77179545793</v>
      </c>
      <c r="G12" s="21">
        <f>AVERAGE(G7:G11)</f>
        <v>7134368.9452079339</v>
      </c>
      <c r="H12" s="57">
        <f t="shared" si="0"/>
        <v>70.404215599124626</v>
      </c>
      <c r="I12" s="58"/>
      <c r="J12" s="24"/>
      <c r="K12" s="25"/>
      <c r="L12" s="25"/>
      <c r="M12" s="25"/>
      <c r="N12" s="26"/>
    </row>
    <row r="13" spans="1:15" ht="15.75" thickBot="1" x14ac:dyDescent="0.3">
      <c r="C13" s="27"/>
      <c r="D13" s="28"/>
      <c r="E13" s="28"/>
      <c r="F13" s="28"/>
      <c r="G13" s="59"/>
      <c r="H13" s="60"/>
      <c r="I13" s="19"/>
      <c r="J13" s="19"/>
      <c r="K13" s="19"/>
      <c r="L13" s="19"/>
    </row>
    <row r="14" spans="1:15" ht="15.75" thickBot="1" x14ac:dyDescent="0.3">
      <c r="C14" s="31" t="s">
        <v>17</v>
      </c>
      <c r="D14" s="32">
        <v>157585</v>
      </c>
      <c r="E14" s="61" t="s">
        <v>18</v>
      </c>
      <c r="F14" s="32">
        <f>E12</f>
        <v>101334.39999999999</v>
      </c>
      <c r="G14" s="28"/>
      <c r="H14" s="59"/>
      <c r="I14" s="60"/>
      <c r="J14" s="19"/>
      <c r="K14" s="19"/>
      <c r="L14" s="19"/>
      <c r="M14" s="19"/>
    </row>
    <row r="16" spans="1:15" x14ac:dyDescent="0.25">
      <c r="C16" s="34"/>
      <c r="D16" s="34" t="s">
        <v>19</v>
      </c>
      <c r="E16" s="34" t="s">
        <v>20</v>
      </c>
      <c r="F16" s="34" t="s">
        <v>21</v>
      </c>
      <c r="I16" s="35"/>
      <c r="J16" s="77" t="s">
        <v>22</v>
      </c>
      <c r="K16" s="77"/>
      <c r="L16" s="77"/>
      <c r="M16" s="77"/>
    </row>
    <row r="17" spans="3:13" ht="45" x14ac:dyDescent="0.25">
      <c r="C17" s="34"/>
      <c r="D17" s="34" t="s">
        <v>23</v>
      </c>
      <c r="E17" s="34" t="s">
        <v>24</v>
      </c>
      <c r="F17" s="34" t="s">
        <v>25</v>
      </c>
      <c r="I17" s="35"/>
      <c r="J17" s="8" t="s">
        <v>7</v>
      </c>
      <c r="K17" s="8" t="s">
        <v>8</v>
      </c>
      <c r="L17" s="8" t="s">
        <v>9</v>
      </c>
      <c r="M17" s="8" t="s">
        <v>10</v>
      </c>
    </row>
    <row r="18" spans="3:13" ht="30.75" thickBot="1" x14ac:dyDescent="0.3">
      <c r="C18" s="36" t="s">
        <v>26</v>
      </c>
      <c r="D18" s="37">
        <v>0</v>
      </c>
      <c r="E18" s="37">
        <f>IF(AND(INTERCEPT(G7:G11,E7:E11)&lt;AVERAGE(G7:G11),INTERCEPT(G7:G11,E7:E11)/D14&gt;0),(INTERCEPT(G7:G11,E7:E11))/D14,AVERAGE(F7:F11)/D14)</f>
        <v>8.7425240338381514</v>
      </c>
      <c r="F18" s="37">
        <v>10.443772835669256</v>
      </c>
      <c r="G18" s="62"/>
      <c r="I18" s="39" t="s">
        <v>11</v>
      </c>
      <c r="J18" s="53">
        <f>F18</f>
        <v>10.443772835669256</v>
      </c>
      <c r="K18" s="54">
        <f>J18*$D$14</f>
        <v>1645781.9423089398</v>
      </c>
      <c r="L18" s="54">
        <f>(IF($E$18=INTERCEPT($G$7:$G$11,$E$7:$E$11)/$D$14,LINEST($L$7:$L$11,$E$7:$E$11),(SUM($L$7:$L$11)/(SUM($E$7:$E$11)))))*E7</f>
        <v>7573114.6271442566</v>
      </c>
      <c r="M18" s="55">
        <f>K18+L18-G7</f>
        <v>361848.18923661858</v>
      </c>
    </row>
    <row r="19" spans="3:13" ht="30.75" thickBot="1" x14ac:dyDescent="0.3">
      <c r="C19" s="36" t="s">
        <v>27</v>
      </c>
      <c r="D19" s="37">
        <f>H12</f>
        <v>70.404215599124626</v>
      </c>
      <c r="E19" s="37">
        <f>IF(E18=INTERCEPT(G7:G11,E7:E11)/D14,LINEST(L7:L11,E7:E11),(SUM(L7:L11)/(SUM(E7:E11))))</f>
        <v>56.808727296313499</v>
      </c>
      <c r="F19" s="37">
        <f>E19</f>
        <v>56.808727296313499</v>
      </c>
      <c r="G19" s="63"/>
      <c r="H19" s="63"/>
      <c r="I19" s="39" t="s">
        <v>12</v>
      </c>
      <c r="J19" s="53">
        <f>J18</f>
        <v>10.443772835669256</v>
      </c>
      <c r="K19" s="54">
        <f>J19*$D$14</f>
        <v>1645781.9423089398</v>
      </c>
      <c r="L19" s="54">
        <f>(IF($E$18=INTERCEPT($G$7:$G$11,$E$7:$E$11)/$D$14,LINEST($L$7:$L$11,$E$7:$E$11),(SUM($L$7:$L$11)/(SUM($E$7:$E$11)))))*E8</f>
        <v>4712227.1205019085</v>
      </c>
      <c r="M19" s="55">
        <f>K19+L19-G8</f>
        <v>524886.11858509574</v>
      </c>
    </row>
    <row r="20" spans="3:13" ht="45.75" thickBot="1" x14ac:dyDescent="0.3">
      <c r="C20" s="41" t="s">
        <v>36</v>
      </c>
      <c r="D20" s="42">
        <f>MIN(I7:I11)</f>
        <v>-489549.76470465399</v>
      </c>
      <c r="E20" s="42">
        <f>MIN(N7:N11)</f>
        <v>-268091.29243655503</v>
      </c>
      <c r="F20" s="42">
        <f>MIN(M18:M22)</f>
        <v>0</v>
      </c>
      <c r="G20" s="63"/>
      <c r="H20" s="63"/>
      <c r="I20" s="39" t="s">
        <v>13</v>
      </c>
      <c r="J20" s="53">
        <f>J19</f>
        <v>10.443772835669256</v>
      </c>
      <c r="K20" s="54">
        <f>J20*$D$14</f>
        <v>1645781.9423089398</v>
      </c>
      <c r="L20" s="54">
        <f>(IF($E$18=INTERCEPT($G$7:$G$11,$E$7:$E$11)/$D$14,LINEST($L$7:$L$11,$E$7:$E$11),(SUM($L$7:$L$11)/(SUM($E$7:$E$11)))))*E9</f>
        <v>5777504.3747623796</v>
      </c>
      <c r="M20" s="55">
        <f>K20+L20-G9</f>
        <v>364015.24764740467</v>
      </c>
    </row>
    <row r="21" spans="3:13" ht="45.75" thickBot="1" x14ac:dyDescent="0.3">
      <c r="C21" s="36" t="s">
        <v>38</v>
      </c>
      <c r="D21" s="42">
        <f>MAX(I7:I11)</f>
        <v>528467.19708712585</v>
      </c>
      <c r="E21" s="43">
        <f>MAX(N7:N11)</f>
        <v>256794.82614854071</v>
      </c>
      <c r="F21" s="43">
        <f>MAX(M18:M22)</f>
        <v>524886.11858509574</v>
      </c>
      <c r="I21" s="39" t="s">
        <v>14</v>
      </c>
      <c r="J21" s="53">
        <f>J20</f>
        <v>10.443772835669256</v>
      </c>
      <c r="K21" s="54">
        <f>J21*$D$14</f>
        <v>1645781.9423089398</v>
      </c>
      <c r="L21" s="54">
        <f>(IF($E$18=INTERCEPT($G$7:$G$11,$E$7:$E$11)/$D$14,LINEST($L$7:$L$11,$E$7:$E$11),(SUM($L$7:$L$11)/(SUM($E$7:$E$11)))))*E10</f>
        <v>6264071.1240553046</v>
      </c>
      <c r="M21" s="55">
        <f>K21+L21-G10</f>
        <v>0</v>
      </c>
    </row>
    <row r="22" spans="3:13" ht="45.75" thickBot="1" x14ac:dyDescent="0.3">
      <c r="C22" s="36" t="s">
        <v>37</v>
      </c>
      <c r="D22" s="43">
        <f>AVERAGE(I7:I11)</f>
        <v>-3.7252902984619143E-10</v>
      </c>
      <c r="E22" s="43">
        <f>AVERAGE(N7:N11)</f>
        <v>9.3132257461547852E-10</v>
      </c>
      <c r="F22" s="43">
        <f>AVERAGE(M18:M22)</f>
        <v>268091.29243655596</v>
      </c>
      <c r="I22" s="44" t="s">
        <v>15</v>
      </c>
      <c r="J22" s="64">
        <f>J21</f>
        <v>10.443772835669256</v>
      </c>
      <c r="K22" s="65">
        <f>J22*$D$14</f>
        <v>1645781.9423089398</v>
      </c>
      <c r="L22" s="65">
        <f>(IF($E$18=INTERCEPT($G$7:$G$11,$E$7:$E$11)/$D$14,LINEST($L$7:$L$11,$E$7:$E$11),(SUM($L$7:$L$11)/(SUM($E$7:$E$11)))))*E11</f>
        <v>4456474.2302139048</v>
      </c>
      <c r="M22" s="66">
        <f>K22+L22-G11</f>
        <v>89706.906713660806</v>
      </c>
    </row>
    <row r="25" spans="3:13" x14ac:dyDescent="0.25">
      <c r="C25" t="s">
        <v>28</v>
      </c>
    </row>
  </sheetData>
  <mergeCells count="3">
    <mergeCell ref="J5:N5"/>
    <mergeCell ref="J16:M16"/>
    <mergeCell ref="C4:O4"/>
  </mergeCells>
  <conditionalFormatting sqref="D20:F22">
    <cfRule type="cellIs" dxfId="15" priority="2" operator="lessThan">
      <formula>0</formula>
    </cfRule>
  </conditionalFormatting>
  <conditionalFormatting sqref="I7:I11 N7:N11 M18:M22">
    <cfRule type="cellIs" dxfId="14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O25"/>
  <sheetViews>
    <sheetView workbookViewId="0">
      <selection activeCell="E20" sqref="E20"/>
    </sheetView>
  </sheetViews>
  <sheetFormatPr defaultRowHeight="15" x14ac:dyDescent="0.25"/>
  <cols>
    <col min="1" max="1" width="10.7109375" bestFit="1" customWidth="1"/>
    <col min="2" max="2" width="9.7109375" bestFit="1" customWidth="1"/>
    <col min="3" max="3" width="16.140625" customWidth="1"/>
    <col min="4" max="4" width="14.5703125" customWidth="1"/>
    <col min="5" max="5" width="17.42578125" customWidth="1"/>
    <col min="6" max="6" width="14.85546875" customWidth="1"/>
    <col min="7" max="7" width="13.7109375" customWidth="1"/>
    <col min="8" max="8" width="15.28515625" customWidth="1"/>
    <col min="9" max="9" width="25.42578125" customWidth="1"/>
    <col min="10" max="10" width="12.140625" customWidth="1"/>
    <col min="11" max="11" width="14.7109375" customWidth="1"/>
    <col min="12" max="12" width="16.85546875" customWidth="1"/>
    <col min="13" max="13" width="21.140625" bestFit="1" customWidth="1"/>
  </cols>
  <sheetData>
    <row r="2" spans="1:15" x14ac:dyDescent="0.25">
      <c r="B2" s="1"/>
    </row>
    <row r="4" spans="1:15" ht="32.25" customHeight="1" x14ac:dyDescent="0.25">
      <c r="C4" s="79" t="s">
        <v>40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5" spans="1:15" ht="40.5" customHeight="1" x14ac:dyDescent="0.25">
      <c r="C5" s="2" t="s">
        <v>42</v>
      </c>
      <c r="D5" s="2"/>
      <c r="E5" s="2"/>
      <c r="F5" s="2"/>
      <c r="G5" s="3"/>
      <c r="H5" s="4" t="s">
        <v>0</v>
      </c>
      <c r="I5" s="77" t="s">
        <v>1</v>
      </c>
      <c r="J5" s="77"/>
      <c r="K5" s="77"/>
      <c r="L5" s="77"/>
    </row>
    <row r="6" spans="1:15" ht="59.25" customHeight="1" x14ac:dyDescent="0.25">
      <c r="C6" s="5" t="s">
        <v>2</v>
      </c>
      <c r="D6" s="5" t="s">
        <v>35</v>
      </c>
      <c r="E6" s="5" t="s">
        <v>31</v>
      </c>
      <c r="F6" s="5" t="s">
        <v>4</v>
      </c>
      <c r="G6" s="6" t="s">
        <v>5</v>
      </c>
      <c r="H6" s="7" t="s">
        <v>6</v>
      </c>
      <c r="I6" s="8" t="s">
        <v>7</v>
      </c>
      <c r="J6" s="8" t="s">
        <v>8</v>
      </c>
      <c r="K6" s="8" t="s">
        <v>9</v>
      </c>
      <c r="L6" s="8" t="s">
        <v>10</v>
      </c>
    </row>
    <row r="7" spans="1:15" ht="15.75" thickBot="1" x14ac:dyDescent="0.3">
      <c r="A7" s="9"/>
      <c r="B7" s="9"/>
      <c r="C7" s="10" t="s">
        <v>11</v>
      </c>
      <c r="D7" s="11">
        <v>163182</v>
      </c>
      <c r="E7" s="12">
        <v>24852</v>
      </c>
      <c r="F7" s="11">
        <v>52562.939263261724</v>
      </c>
      <c r="G7" s="13">
        <f t="shared" ref="G7:G12" si="0">F7/E7</f>
        <v>2.1150385990367666</v>
      </c>
      <c r="H7" s="14">
        <f>$G$12*E7-F7</f>
        <v>23275.43890891294</v>
      </c>
      <c r="I7" s="15">
        <f>E18</f>
        <v>1.5805777673783969</v>
      </c>
      <c r="J7" s="16">
        <f>I7*$D$14</f>
        <v>52565.274809703347</v>
      </c>
      <c r="K7" s="13">
        <f>LINEST('Barker Barambah'!$F$7:$F$11,'Barker Barambah'!$E$7:$E$11)*E7</f>
        <v>-2.0984357061945897</v>
      </c>
      <c r="L7" s="17">
        <f>J7+K7-F7</f>
        <v>0.23711073542654049</v>
      </c>
    </row>
    <row r="8" spans="1:15" ht="16.5" thickTop="1" thickBot="1" x14ac:dyDescent="0.3">
      <c r="A8" s="9"/>
      <c r="B8" s="9"/>
      <c r="C8" s="10" t="s">
        <v>12</v>
      </c>
      <c r="D8" s="11">
        <v>163182</v>
      </c>
      <c r="E8" s="12">
        <v>17435</v>
      </c>
      <c r="F8" s="11">
        <v>52562.939263261724</v>
      </c>
      <c r="G8" s="13">
        <f t="shared" si="0"/>
        <v>3.0147943368661729</v>
      </c>
      <c r="H8" s="14">
        <f>$G$12*E8-F8</f>
        <v>641.71724051524507</v>
      </c>
      <c r="I8" s="18">
        <f>I7</f>
        <v>1.5805777673783969</v>
      </c>
      <c r="J8" s="16">
        <f>I8*$D$14</f>
        <v>52565.274809703347</v>
      </c>
      <c r="K8" s="16">
        <f>LINEST('Barker Barambah'!$F$7:$F$11,'Barker Barambah'!$E$7:$E$11)*E8</f>
        <v>-1.4721642740021998</v>
      </c>
      <c r="L8" s="17">
        <f>J8+K8-F8</f>
        <v>0.86338216761942022</v>
      </c>
    </row>
    <row r="9" spans="1:15" ht="16.5" thickTop="1" thickBot="1" x14ac:dyDescent="0.3">
      <c r="A9" s="9"/>
      <c r="B9" s="9"/>
      <c r="C9" s="10" t="s">
        <v>13</v>
      </c>
      <c r="D9" s="11">
        <v>163182</v>
      </c>
      <c r="E9" s="12">
        <v>15187</v>
      </c>
      <c r="F9" s="11">
        <v>52567.344833261726</v>
      </c>
      <c r="G9" s="13">
        <f t="shared" si="0"/>
        <v>3.4613383046856998</v>
      </c>
      <c r="H9" s="14">
        <f>$G$12*E9-F9</f>
        <v>-6222.6864838002512</v>
      </c>
      <c r="I9" s="18">
        <f>I8</f>
        <v>1.5805777673783969</v>
      </c>
      <c r="J9" s="16">
        <f>I9*$D$14</f>
        <v>52565.274809703347</v>
      </c>
      <c r="K9" s="16">
        <f>LINEST('Barker Barambah'!$F$7:$F$11,'Barker Barambah'!$E$7:$E$11)*E9</f>
        <v>-1.2823492302421227</v>
      </c>
      <c r="L9" s="17">
        <f>J9+K9-F9</f>
        <v>-3.3523727886204142</v>
      </c>
    </row>
    <row r="10" spans="1:15" ht="16.5" thickTop="1" thickBot="1" x14ac:dyDescent="0.3">
      <c r="A10" s="9"/>
      <c r="B10" s="9"/>
      <c r="C10" s="10" t="s">
        <v>14</v>
      </c>
      <c r="D10" s="11">
        <v>163182</v>
      </c>
      <c r="E10" s="12">
        <v>18010</v>
      </c>
      <c r="F10" s="11">
        <v>52562.939263261724</v>
      </c>
      <c r="G10" s="13">
        <f t="shared" si="0"/>
        <v>2.9185418802477359</v>
      </c>
      <c r="H10" s="14">
        <f>$G$12*E10-F10</f>
        <v>2396.3875869260155</v>
      </c>
      <c r="I10" s="18">
        <f>I9</f>
        <v>1.5805777673783969</v>
      </c>
      <c r="J10" s="16">
        <f>I10*$D$14</f>
        <v>52565.274809703347</v>
      </c>
      <c r="K10" s="16">
        <f>LINEST('Barker Barambah'!$F$7:$F$11,'Barker Barambah'!$E$7:$E$11)*E10</f>
        <v>-1.520715719803821</v>
      </c>
      <c r="L10" s="17">
        <f>J10+K10-F10</f>
        <v>0.81483072182163596</v>
      </c>
    </row>
    <row r="11" spans="1:15" ht="16.5" thickTop="1" thickBot="1" x14ac:dyDescent="0.3">
      <c r="A11" s="9"/>
      <c r="B11" s="9"/>
      <c r="C11" s="10" t="s">
        <v>15</v>
      </c>
      <c r="D11" s="11">
        <v>163182</v>
      </c>
      <c r="E11" s="12">
        <v>10641</v>
      </c>
      <c r="F11" s="11">
        <v>52562.939263261724</v>
      </c>
      <c r="G11" s="13">
        <f t="shared" si="0"/>
        <v>4.939661616695961</v>
      </c>
      <c r="H11" s="14">
        <f>$G$12*E11-F11</f>
        <v>-20090.857252553913</v>
      </c>
      <c r="I11" s="18">
        <f>I10</f>
        <v>1.5805777673783969</v>
      </c>
      <c r="J11" s="16">
        <f>I11*$D$14</f>
        <v>52565.274809703347</v>
      </c>
      <c r="K11" s="16">
        <f>LINEST('Barker Barambah'!$F$7:$F$11,'Barker Barambah'!$E$7:$E$11)*E11</f>
        <v>-0.8984972778696535</v>
      </c>
      <c r="L11" s="17">
        <f>J11+K11-F11</f>
        <v>1.4370491637528175</v>
      </c>
    </row>
    <row r="12" spans="1:15" ht="15.75" thickTop="1" x14ac:dyDescent="0.25">
      <c r="C12" s="20" t="s">
        <v>16</v>
      </c>
      <c r="D12" s="21">
        <f>AVERAGE(D7:D11)</f>
        <v>163182</v>
      </c>
      <c r="E12" s="21">
        <f>AVERAGE(E7:E11)</f>
        <v>17225</v>
      </c>
      <c r="F12" s="21">
        <f>AVERAGE(F7:F11)</f>
        <v>52563.820377261727</v>
      </c>
      <c r="G12" s="22">
        <f t="shared" si="0"/>
        <v>3.0516006024535112</v>
      </c>
      <c r="H12" s="23"/>
      <c r="I12" s="24"/>
      <c r="J12" s="25"/>
      <c r="K12" s="25"/>
      <c r="L12" s="26"/>
    </row>
    <row r="13" spans="1:15" ht="15.75" thickBot="1" x14ac:dyDescent="0.3">
      <c r="C13" s="27"/>
      <c r="D13" s="28"/>
      <c r="E13" s="28"/>
      <c r="F13" s="28"/>
      <c r="G13" s="29"/>
      <c r="H13" s="30"/>
      <c r="I13" s="19"/>
      <c r="J13" s="19"/>
      <c r="K13" s="19"/>
      <c r="L13" s="19"/>
    </row>
    <row r="14" spans="1:15" ht="15.75" thickBot="1" x14ac:dyDescent="0.3">
      <c r="C14" s="31" t="s">
        <v>17</v>
      </c>
      <c r="D14" s="32">
        <v>33257</v>
      </c>
      <c r="E14" s="33" t="s">
        <v>18</v>
      </c>
      <c r="F14" s="32">
        <f>E12</f>
        <v>17225</v>
      </c>
      <c r="G14" s="28"/>
      <c r="H14" s="29"/>
      <c r="I14" s="30"/>
      <c r="J14" s="19"/>
      <c r="K14" s="19"/>
      <c r="L14" s="19"/>
      <c r="M14" s="19"/>
    </row>
    <row r="16" spans="1:15" x14ac:dyDescent="0.25">
      <c r="C16" s="34"/>
      <c r="D16" s="34" t="s">
        <v>19</v>
      </c>
      <c r="E16" s="34" t="s">
        <v>20</v>
      </c>
      <c r="F16" s="34" t="s">
        <v>21</v>
      </c>
      <c r="I16" s="35"/>
      <c r="J16" s="77" t="s">
        <v>22</v>
      </c>
      <c r="K16" s="77"/>
      <c r="L16" s="77"/>
      <c r="M16" s="77"/>
    </row>
    <row r="17" spans="3:13" ht="45" x14ac:dyDescent="0.25">
      <c r="C17" s="34"/>
      <c r="D17" s="34" t="s">
        <v>23</v>
      </c>
      <c r="E17" s="34" t="s">
        <v>24</v>
      </c>
      <c r="F17" s="34" t="s">
        <v>25</v>
      </c>
      <c r="I17" s="35"/>
      <c r="J17" s="8" t="s">
        <v>7</v>
      </c>
      <c r="K17" s="8" t="s">
        <v>8</v>
      </c>
      <c r="L17" s="8" t="s">
        <v>9</v>
      </c>
      <c r="M17" s="8" t="s">
        <v>10</v>
      </c>
    </row>
    <row r="18" spans="3:13" ht="30.75" thickBot="1" x14ac:dyDescent="0.3">
      <c r="C18" s="36" t="s">
        <v>26</v>
      </c>
      <c r="D18" s="37">
        <v>0</v>
      </c>
      <c r="E18" s="37">
        <f>INTERCEPT(F7:F11,E7:E11)/D14</f>
        <v>1.5805777673783969</v>
      </c>
      <c r="F18" s="37">
        <v>1.580678569398682</v>
      </c>
      <c r="G18" s="38"/>
      <c r="I18" s="39" t="s">
        <v>11</v>
      </c>
      <c r="J18" s="15">
        <f>F18</f>
        <v>1.580678569398682</v>
      </c>
      <c r="K18" s="16">
        <f>J18*$D$14</f>
        <v>52568.627182491968</v>
      </c>
      <c r="L18" s="16">
        <f>LINEST('Barker Barambah'!$F$7:$F$11,'Barker Barambah'!$E$7:$E$11)*E7</f>
        <v>-2.0984357061945897</v>
      </c>
      <c r="M18" s="17">
        <f>K18+L18-F7</f>
        <v>3.5894835240469547</v>
      </c>
    </row>
    <row r="19" spans="3:13" ht="30.75" thickBot="1" x14ac:dyDescent="0.3">
      <c r="C19" s="36" t="s">
        <v>27</v>
      </c>
      <c r="D19" s="37">
        <f>ROUND(G12,2)</f>
        <v>3.05</v>
      </c>
      <c r="E19" s="37">
        <f>LINEST(F7:F11,E7:E11)</f>
        <v>-8.4437297046297666E-5</v>
      </c>
      <c r="F19" s="37">
        <f>E19</f>
        <v>-8.4437297046297666E-5</v>
      </c>
      <c r="G19" s="40"/>
      <c r="H19" s="40"/>
      <c r="I19" s="39" t="s">
        <v>12</v>
      </c>
      <c r="J19" s="15">
        <f>J18</f>
        <v>1.580678569398682</v>
      </c>
      <c r="K19" s="16">
        <f>J19*$D$14</f>
        <v>52568.627182491968</v>
      </c>
      <c r="L19" s="16">
        <f>LINEST('Barker Barambah'!$F$7:$F$11,'Barker Barambah'!$E$7:$E$11)*E8</f>
        <v>-1.4721642740021998</v>
      </c>
      <c r="M19" s="17">
        <f>K19+L19-F8</f>
        <v>4.2157549562398344</v>
      </c>
    </row>
    <row r="20" spans="3:13" ht="45.75" thickBot="1" x14ac:dyDescent="0.3">
      <c r="C20" s="41" t="s">
        <v>36</v>
      </c>
      <c r="D20" s="42">
        <f>MIN(H7:H11)</f>
        <v>-20090.857252553913</v>
      </c>
      <c r="E20" s="42">
        <f>MIN(L7:L11)</f>
        <v>-3.3523727886204142</v>
      </c>
      <c r="F20" s="42">
        <f>MIN(M18:M22)</f>
        <v>0</v>
      </c>
      <c r="G20" s="40"/>
      <c r="H20" s="40"/>
      <c r="I20" s="39" t="s">
        <v>13</v>
      </c>
      <c r="J20" s="15">
        <f>J19</f>
        <v>1.580678569398682</v>
      </c>
      <c r="K20" s="16">
        <f>J20*$D$14</f>
        <v>52568.627182491968</v>
      </c>
      <c r="L20" s="16">
        <f>LINEST('Barker Barambah'!$F$7:$F$11,'Barker Barambah'!$E$7:$E$11)*E9</f>
        <v>-1.2823492302421227</v>
      </c>
      <c r="M20" s="17">
        <f>K20+L20-F9</f>
        <v>0</v>
      </c>
    </row>
    <row r="21" spans="3:13" ht="45.75" thickBot="1" x14ac:dyDescent="0.3">
      <c r="C21" s="36" t="s">
        <v>38</v>
      </c>
      <c r="D21" s="42">
        <f>MAX(H7:H11)</f>
        <v>23275.43890891294</v>
      </c>
      <c r="E21" s="43">
        <f>MAX(L7:L11)</f>
        <v>1.4370491637528175</v>
      </c>
      <c r="F21" s="43">
        <f>MAX(M18:M22)</f>
        <v>4.7894219523732318</v>
      </c>
      <c r="I21" s="39" t="s">
        <v>14</v>
      </c>
      <c r="J21" s="15">
        <f>J20</f>
        <v>1.580678569398682</v>
      </c>
      <c r="K21" s="16">
        <f>J21*$D$14</f>
        <v>52568.627182491968</v>
      </c>
      <c r="L21" s="16">
        <f>LINEST('Barker Barambah'!$F$7:$F$11,'Barker Barambah'!$E$7:$E$11)*E10</f>
        <v>-1.520715719803821</v>
      </c>
      <c r="M21" s="17">
        <f>K21+L21-F10</f>
        <v>4.1672035104420502</v>
      </c>
    </row>
    <row r="22" spans="3:13" ht="45.75" thickBot="1" x14ac:dyDescent="0.3">
      <c r="C22" s="36" t="s">
        <v>37</v>
      </c>
      <c r="D22" s="43">
        <f>AVERAGE(H7:H11)</f>
        <v>7.2759576141834259E-12</v>
      </c>
      <c r="E22" s="43">
        <f>AVERAGE(L7:L11)</f>
        <v>0</v>
      </c>
      <c r="F22" s="43">
        <f>AVERAGE(M18:M22)</f>
        <v>3.3523727886204142</v>
      </c>
      <c r="I22" s="44" t="s">
        <v>15</v>
      </c>
      <c r="J22" s="45">
        <f>J21</f>
        <v>1.580678569398682</v>
      </c>
      <c r="K22" s="46">
        <f>J22*$D$14</f>
        <v>52568.627182491968</v>
      </c>
      <c r="L22" s="46">
        <f>LINEST('Barker Barambah'!$F$7:$F$11,'Barker Barambah'!$E$7:$E$11)*E11</f>
        <v>-0.8984972778696535</v>
      </c>
      <c r="M22" s="47">
        <f>K22+L22-F11</f>
        <v>4.7894219523732318</v>
      </c>
    </row>
    <row r="25" spans="3:13" x14ac:dyDescent="0.25">
      <c r="C25" t="s">
        <v>28</v>
      </c>
    </row>
  </sheetData>
  <mergeCells count="3">
    <mergeCell ref="I5:L5"/>
    <mergeCell ref="J16:M16"/>
    <mergeCell ref="C4:O4"/>
  </mergeCells>
  <conditionalFormatting sqref="D20:F22">
    <cfRule type="cellIs" dxfId="13" priority="2" operator="lessThan">
      <formula>0</formula>
    </cfRule>
  </conditionalFormatting>
  <conditionalFormatting sqref="H7:H11 L7:L11 M18:M22">
    <cfRule type="cellIs" dxfId="12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25"/>
  <sheetViews>
    <sheetView workbookViewId="0">
      <selection activeCell="E18" sqref="E18"/>
    </sheetView>
  </sheetViews>
  <sheetFormatPr defaultRowHeight="15" x14ac:dyDescent="0.25"/>
  <cols>
    <col min="1" max="1" width="10.7109375" bestFit="1" customWidth="1"/>
    <col min="2" max="2" width="9.7109375" bestFit="1" customWidth="1"/>
    <col min="3" max="3" width="16.140625" customWidth="1"/>
    <col min="4" max="4" width="14.5703125" customWidth="1"/>
    <col min="5" max="5" width="17.42578125" customWidth="1"/>
    <col min="6" max="6" width="14.85546875" customWidth="1"/>
    <col min="7" max="7" width="13.7109375" customWidth="1"/>
    <col min="8" max="8" width="15.28515625" customWidth="1"/>
    <col min="9" max="9" width="25.42578125" customWidth="1"/>
    <col min="10" max="10" width="12.140625" customWidth="1"/>
    <col min="11" max="11" width="14.7109375" customWidth="1"/>
    <col min="12" max="12" width="16.85546875" customWidth="1"/>
    <col min="13" max="13" width="21.140625" bestFit="1" customWidth="1"/>
    <col min="14" max="14" width="11.5703125" bestFit="1" customWidth="1"/>
  </cols>
  <sheetData>
    <row r="2" spans="1:16" x14ac:dyDescent="0.25">
      <c r="B2" s="1"/>
    </row>
    <row r="4" spans="1:16" ht="32.25" customHeight="1" x14ac:dyDescent="0.25">
      <c r="C4" s="79" t="s">
        <v>40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5" spans="1:16" ht="40.5" customHeight="1" x14ac:dyDescent="0.25">
      <c r="C5" s="2" t="s">
        <v>43</v>
      </c>
      <c r="D5" s="2"/>
      <c r="E5" s="2"/>
      <c r="F5" s="2"/>
      <c r="G5" s="2"/>
      <c r="H5" s="3"/>
      <c r="I5" s="4" t="s">
        <v>0</v>
      </c>
      <c r="J5" s="76" t="s">
        <v>1</v>
      </c>
      <c r="K5" s="77"/>
      <c r="L5" s="77"/>
      <c r="M5" s="77"/>
      <c r="N5" s="77"/>
    </row>
    <row r="6" spans="1:16" ht="59.25" customHeight="1" x14ac:dyDescent="0.25">
      <c r="C6" s="5" t="s">
        <v>29</v>
      </c>
      <c r="D6" s="5" t="s">
        <v>30</v>
      </c>
      <c r="E6" s="5" t="s">
        <v>31</v>
      </c>
      <c r="F6" s="5" t="s">
        <v>33</v>
      </c>
      <c r="G6" s="5" t="s">
        <v>4</v>
      </c>
      <c r="H6" s="6" t="s">
        <v>5</v>
      </c>
      <c r="I6" s="7" t="s">
        <v>6</v>
      </c>
      <c r="J6" s="8" t="s">
        <v>7</v>
      </c>
      <c r="K6" s="8" t="s">
        <v>8</v>
      </c>
      <c r="L6" s="8" t="s">
        <v>34</v>
      </c>
      <c r="M6" s="8" t="s">
        <v>9</v>
      </c>
      <c r="N6" s="8" t="s">
        <v>10</v>
      </c>
    </row>
    <row r="7" spans="1:16" ht="15.75" thickBot="1" x14ac:dyDescent="0.3">
      <c r="A7" s="9"/>
      <c r="B7" s="9"/>
      <c r="C7" s="10" t="s">
        <v>11</v>
      </c>
      <c r="D7" s="11">
        <v>1677345.4000000001</v>
      </c>
      <c r="E7" s="12">
        <v>9328</v>
      </c>
      <c r="F7" s="67">
        <v>68477.110222361414</v>
      </c>
      <c r="G7" s="11">
        <v>759261.31947736116</v>
      </c>
      <c r="H7" s="13">
        <f t="shared" ref="H7:H12" si="0">G7/E7</f>
        <v>81.395939052032716</v>
      </c>
      <c r="I7" s="14">
        <f>$H$12*E7-G7</f>
        <v>-84268.455572107574</v>
      </c>
      <c r="J7" s="15">
        <f>E18</f>
        <v>6.9255013074471519</v>
      </c>
      <c r="K7" s="16">
        <f>J7*$D$14</f>
        <v>68991.84402478853</v>
      </c>
      <c r="L7" s="67">
        <f>G7-K7</f>
        <v>690269.47545257257</v>
      </c>
      <c r="M7" s="67">
        <f>(IF($E$18=INTERCEPT($G$7:$G$11,$E$7:$E$11)/$D$14,LINEST($L$7:$L$11,$E$7:$E$11),(SUM($L$7:$L$11)/(SUM($E$7:$E$11)))))*E7</f>
        <v>583602.03754505771</v>
      </c>
      <c r="N7" s="17">
        <f>K7+M7-G7</f>
        <v>-106667.43790751486</v>
      </c>
      <c r="P7" s="68"/>
    </row>
    <row r="8" spans="1:16" ht="16.5" thickTop="1" thickBot="1" x14ac:dyDescent="0.3">
      <c r="A8" s="9"/>
      <c r="B8" s="9"/>
      <c r="C8" s="10" t="s">
        <v>12</v>
      </c>
      <c r="D8" s="11">
        <v>616746.89000000013</v>
      </c>
      <c r="E8" s="12">
        <v>4646</v>
      </c>
      <c r="F8" s="67">
        <v>69024.761907104737</v>
      </c>
      <c r="G8" s="11">
        <v>318502.87169920478</v>
      </c>
      <c r="H8" s="13">
        <f t="shared" si="0"/>
        <v>68.554212591305372</v>
      </c>
      <c r="I8" s="14">
        <f>$H$12*E8-G8</f>
        <v>17691.044006606564</v>
      </c>
      <c r="J8" s="18">
        <f>J7</f>
        <v>6.9255013074471519</v>
      </c>
      <c r="K8" s="16">
        <f>J8*$D$14</f>
        <v>68991.84402478853</v>
      </c>
      <c r="L8" s="67">
        <f>G8-K8</f>
        <v>249511.02767441625</v>
      </c>
      <c r="M8" s="67">
        <f>(IF($E$18=INTERCEPT($G$7:$G$11,$E$7:$E$11)/$D$14,LINEST($L$7:$L$11,$E$7:$E$11),(SUM($L$7:$L$11)/(SUM($E$7:$E$11)))))*E8</f>
        <v>290674.85703627125</v>
      </c>
      <c r="N8" s="17">
        <f>K8+M8-G8</f>
        <v>41163.829361854994</v>
      </c>
      <c r="P8" s="68"/>
    </row>
    <row r="9" spans="1:16" ht="16.5" thickTop="1" thickBot="1" x14ac:dyDescent="0.3">
      <c r="A9" s="9"/>
      <c r="B9" s="9"/>
      <c r="C9" s="10" t="s">
        <v>13</v>
      </c>
      <c r="D9" s="11">
        <v>731143.79999999993</v>
      </c>
      <c r="E9" s="12">
        <v>7662</v>
      </c>
      <c r="F9" s="67">
        <v>53159.961239548269</v>
      </c>
      <c r="G9" s="11">
        <v>375877.57832324819</v>
      </c>
      <c r="H9" s="13">
        <f t="shared" si="0"/>
        <v>49.057371224647376</v>
      </c>
      <c r="I9" s="14">
        <f>$H$12*E9-G9</f>
        <v>178560.17073786387</v>
      </c>
      <c r="J9" s="18">
        <f>J8</f>
        <v>6.9255013074471519</v>
      </c>
      <c r="K9" s="16">
        <f>J9*$D$14</f>
        <v>68991.84402478853</v>
      </c>
      <c r="L9" s="67">
        <f>G9-K9</f>
        <v>306885.73429845966</v>
      </c>
      <c r="M9" s="67">
        <f>(IF($E$18=INTERCEPT($G$7:$G$11,$E$7:$E$11)/$D$14,LINEST($L$7:$L$11,$E$7:$E$11),(SUM($L$7:$L$11)/(SUM($E$7:$E$11)))))*E9</f>
        <v>479369.5124003251</v>
      </c>
      <c r="N9" s="17">
        <f>K9+M9-G9</f>
        <v>172483.77810186544</v>
      </c>
      <c r="P9" s="68"/>
    </row>
    <row r="10" spans="1:16" ht="16.5" thickTop="1" thickBot="1" x14ac:dyDescent="0.3">
      <c r="A10" s="9"/>
      <c r="B10" s="9"/>
      <c r="C10" s="10" t="s">
        <v>14</v>
      </c>
      <c r="D10" s="11">
        <v>1707598.76</v>
      </c>
      <c r="E10" s="12">
        <v>9668</v>
      </c>
      <c r="F10" s="67">
        <v>85455.175409404532</v>
      </c>
      <c r="G10" s="11">
        <v>809589.66722940444</v>
      </c>
      <c r="H10" s="13">
        <f t="shared" si="0"/>
        <v>83.739105009247453</v>
      </c>
      <c r="I10" s="14">
        <f>$H$12*E10-G10</f>
        <v>-109993.71866208117</v>
      </c>
      <c r="J10" s="18">
        <f>J9</f>
        <v>6.9255013074471519</v>
      </c>
      <c r="K10" s="16">
        <f>J10*$D$14</f>
        <v>68991.84402478853</v>
      </c>
      <c r="L10" s="67">
        <f>G10-K10</f>
        <v>740597.82320461585</v>
      </c>
      <c r="M10" s="67">
        <f>(IF($E$18=INTERCEPT($G$7:$G$11,$E$7:$E$11)/$D$14,LINEST($L$7:$L$11,$E$7:$E$11),(SUM($L$7:$L$11)/(SUM($E$7:$E$11)))))*E10</f>
        <v>604873.98145214608</v>
      </c>
      <c r="N10" s="17">
        <f>K10+M10-G10</f>
        <v>-135723.84175246977</v>
      </c>
      <c r="P10" s="68"/>
    </row>
    <row r="11" spans="1:16" ht="16.5" thickTop="1" thickBot="1" x14ac:dyDescent="0.3">
      <c r="A11" s="9"/>
      <c r="B11" s="9"/>
      <c r="C11" s="10" t="s">
        <v>15</v>
      </c>
      <c r="D11" s="11">
        <v>500963.76</v>
      </c>
      <c r="E11" s="12">
        <v>3905</v>
      </c>
      <c r="F11" s="67">
        <v>68842.211345523639</v>
      </c>
      <c r="G11" s="11">
        <v>284562.70405552362</v>
      </c>
      <c r="H11" s="13">
        <f t="shared" si="0"/>
        <v>72.871371076958667</v>
      </c>
      <c r="I11" s="14">
        <f>$H$12*E11-G11</f>
        <v>-1989.0405102818622</v>
      </c>
      <c r="J11" s="18">
        <f>J10</f>
        <v>6.9255013074471519</v>
      </c>
      <c r="K11" s="16">
        <f>J11*$D$14</f>
        <v>68991.84402478853</v>
      </c>
      <c r="L11" s="67">
        <f>G11-K11</f>
        <v>215570.86003073509</v>
      </c>
      <c r="M11" s="67">
        <f>(IF($E$18=INTERCEPT($G$7:$G$11,$E$7:$E$11)/$D$14,LINEST($L$7:$L$11,$E$7:$E$11),(SUM($L$7:$L$11)/(SUM($E$7:$E$11)))))*E11</f>
        <v>244314.53222699941</v>
      </c>
      <c r="N11" s="17">
        <f>K11+M11-G11</f>
        <v>28743.672196264321</v>
      </c>
      <c r="P11" s="68"/>
    </row>
    <row r="12" spans="1:16" ht="15.75" thickTop="1" x14ac:dyDescent="0.25">
      <c r="C12" s="20" t="s">
        <v>16</v>
      </c>
      <c r="D12" s="21">
        <f>AVERAGE(D7:D11)</f>
        <v>1046759.7219999998</v>
      </c>
      <c r="E12" s="21">
        <f>AVERAGE(E7:E11)</f>
        <v>7041.8</v>
      </c>
      <c r="F12" s="21">
        <f>AVERAGE(F7:F11)</f>
        <v>68991.84402478853</v>
      </c>
      <c r="G12" s="21">
        <f>AVERAGE(G7:G11)</f>
        <v>509558.82815694844</v>
      </c>
      <c r="H12" s="22">
        <f t="shared" si="0"/>
        <v>72.362013711969723</v>
      </c>
      <c r="I12" s="23"/>
      <c r="J12" s="24"/>
      <c r="K12" s="25"/>
      <c r="L12" s="25"/>
      <c r="M12" s="25"/>
      <c r="N12" s="26"/>
    </row>
    <row r="13" spans="1:16" ht="15.75" thickBot="1" x14ac:dyDescent="0.3">
      <c r="C13" s="27"/>
      <c r="D13" s="28"/>
      <c r="E13" s="28"/>
      <c r="F13" s="28"/>
      <c r="G13" s="29"/>
      <c r="H13" s="30"/>
      <c r="I13" s="19"/>
      <c r="J13" s="19"/>
      <c r="K13" s="19"/>
      <c r="L13" s="19"/>
    </row>
    <row r="14" spans="1:16" ht="15.75" thickBot="1" x14ac:dyDescent="0.3">
      <c r="C14" s="31" t="s">
        <v>17</v>
      </c>
      <c r="D14" s="32">
        <v>9962</v>
      </c>
      <c r="E14" s="33" t="s">
        <v>18</v>
      </c>
      <c r="F14" s="32">
        <f>E12</f>
        <v>7041.8</v>
      </c>
      <c r="G14" s="28"/>
      <c r="H14" s="29"/>
      <c r="I14" s="30"/>
      <c r="J14" s="19"/>
      <c r="K14" s="19"/>
      <c r="L14" s="19"/>
      <c r="M14" s="19"/>
    </row>
    <row r="16" spans="1:16" x14ac:dyDescent="0.25">
      <c r="C16" s="34"/>
      <c r="D16" s="34" t="s">
        <v>19</v>
      </c>
      <c r="E16" s="34" t="s">
        <v>20</v>
      </c>
      <c r="F16" s="34" t="s">
        <v>21</v>
      </c>
      <c r="I16" s="35"/>
      <c r="J16" s="77" t="s">
        <v>22</v>
      </c>
      <c r="K16" s="77"/>
      <c r="L16" s="77"/>
      <c r="M16" s="77"/>
    </row>
    <row r="17" spans="3:13" ht="45" x14ac:dyDescent="0.25">
      <c r="C17" s="34"/>
      <c r="D17" s="34" t="s">
        <v>23</v>
      </c>
      <c r="E17" s="34" t="s">
        <v>24</v>
      </c>
      <c r="F17" s="34" t="s">
        <v>25</v>
      </c>
      <c r="I17" s="35"/>
      <c r="J17" s="8" t="s">
        <v>7</v>
      </c>
      <c r="K17" s="8" t="s">
        <v>8</v>
      </c>
      <c r="L17" s="8" t="s">
        <v>9</v>
      </c>
      <c r="M17" s="8" t="s">
        <v>10</v>
      </c>
    </row>
    <row r="18" spans="3:13" ht="30.75" thickBot="1" x14ac:dyDescent="0.3">
      <c r="C18" s="36" t="s">
        <v>26</v>
      </c>
      <c r="D18" s="37">
        <v>0</v>
      </c>
      <c r="E18" s="37">
        <f>IF(AND(INTERCEPT(G7:G11,E7:E11)&lt;AVERAGE(G7:G11),INTERCEPT(G7:G11,E7:E11)/D14&gt;0),(INTERCEPT(G7:G11,E7:E11))/D14,AVERAGE(F7:F11)/D14)</f>
        <v>6.9255013074471519</v>
      </c>
      <c r="F18" s="37">
        <v>20.549657275372255</v>
      </c>
      <c r="G18" s="38"/>
      <c r="I18" s="39" t="s">
        <v>11</v>
      </c>
      <c r="J18" s="15">
        <f>F18</f>
        <v>20.549657275372255</v>
      </c>
      <c r="K18" s="16">
        <f>J18*$D$14</f>
        <v>204715.68577725839</v>
      </c>
      <c r="L18" s="67">
        <f>(IF($E$18=INTERCEPT($G$7:$G$11,$E$7:$E$11)/$D$14,LINEST($L$7:$L$11,$E$7:$E$11),(SUM($L$7:$L$11)/(SUM($E$7:$E$11)))))*E7</f>
        <v>583602.03754505771</v>
      </c>
      <c r="M18" s="17">
        <f>K18+L18-G7</f>
        <v>29056.403844954912</v>
      </c>
    </row>
    <row r="19" spans="3:13" ht="30.75" thickBot="1" x14ac:dyDescent="0.3">
      <c r="C19" s="36" t="s">
        <v>27</v>
      </c>
      <c r="D19" s="37">
        <f>H12</f>
        <v>72.362013711969723</v>
      </c>
      <c r="E19" s="37">
        <f>IF(E18=INTERCEPT(G7:G11,E7:E11)/D14,LINEST(L7:L11,E7:E11),(SUM(L7:L11)/(SUM(E7:E11))))</f>
        <v>62.564540903200871</v>
      </c>
      <c r="F19" s="37">
        <f>E19</f>
        <v>62.564540903200871</v>
      </c>
      <c r="G19" s="40"/>
      <c r="H19" s="40"/>
      <c r="I19" s="39" t="s">
        <v>12</v>
      </c>
      <c r="J19" s="15">
        <f>J18</f>
        <v>20.549657275372255</v>
      </c>
      <c r="K19" s="16">
        <f>J19*$D$14</f>
        <v>204715.68577725839</v>
      </c>
      <c r="L19" s="67">
        <f>(IF($E$18=INTERCEPT($G$7:$G$11,$E$7:$E$11)/$D$14,LINEST($L$7:$L$11,$E$7:$E$11),(SUM($L$7:$L$11)/(SUM($E$7:$E$11)))))*E8</f>
        <v>290674.85703627125</v>
      </c>
      <c r="M19" s="17">
        <f>K19+L19-G8</f>
        <v>176887.67111432482</v>
      </c>
    </row>
    <row r="20" spans="3:13" ht="45.75" thickBot="1" x14ac:dyDescent="0.3">
      <c r="C20" s="41" t="s">
        <v>36</v>
      </c>
      <c r="D20" s="42">
        <f>MIN(I7:I11)</f>
        <v>-109993.71866208117</v>
      </c>
      <c r="E20" s="42">
        <f>MIN(N7:N11)</f>
        <v>-135723.84175246977</v>
      </c>
      <c r="F20" s="42">
        <f>MIN(M18:M22)</f>
        <v>0</v>
      </c>
      <c r="G20" s="40"/>
      <c r="H20" s="40"/>
      <c r="I20" s="39" t="s">
        <v>13</v>
      </c>
      <c r="J20" s="15">
        <f>J19</f>
        <v>20.549657275372255</v>
      </c>
      <c r="K20" s="16">
        <f>J20*$D$14</f>
        <v>204715.68577725839</v>
      </c>
      <c r="L20" s="67">
        <f>(IF($E$18=INTERCEPT($G$7:$G$11,$E$7:$E$11)/$D$14,LINEST($L$7:$L$11,$E$7:$E$11),(SUM($L$7:$L$11)/(SUM($E$7:$E$11)))))*E9</f>
        <v>479369.5124003251</v>
      </c>
      <c r="M20" s="17">
        <f>K20+L20-G9</f>
        <v>308207.61985433532</v>
      </c>
    </row>
    <row r="21" spans="3:13" ht="45.75" thickBot="1" x14ac:dyDescent="0.3">
      <c r="C21" s="36" t="s">
        <v>38</v>
      </c>
      <c r="D21" s="42">
        <f>MAX(I7:I11)</f>
        <v>178560.17073786387</v>
      </c>
      <c r="E21" s="43">
        <f>MAX(N7:N11)</f>
        <v>172483.77810186544</v>
      </c>
      <c r="F21" s="43">
        <f>MAX(M18:M22)</f>
        <v>308207.61985433532</v>
      </c>
      <c r="I21" s="39" t="s">
        <v>14</v>
      </c>
      <c r="J21" s="15">
        <f>J20</f>
        <v>20.549657275372255</v>
      </c>
      <c r="K21" s="16">
        <f>J21*$D$14</f>
        <v>204715.68577725839</v>
      </c>
      <c r="L21" s="67">
        <f>(IF($E$18=INTERCEPT($G$7:$G$11,$E$7:$E$11)/$D$14,LINEST($L$7:$L$11,$E$7:$E$11),(SUM($L$7:$L$11)/(SUM($E$7:$E$11)))))*E10</f>
        <v>604873.98145214608</v>
      </c>
      <c r="M21" s="17">
        <f>K21+L21-G10</f>
        <v>0</v>
      </c>
    </row>
    <row r="22" spans="3:13" ht="45.75" thickBot="1" x14ac:dyDescent="0.3">
      <c r="C22" s="36" t="s">
        <v>37</v>
      </c>
      <c r="D22" s="43">
        <f>AVERAGE(I7:I11)</f>
        <v>-3.4924596548080443E-11</v>
      </c>
      <c r="E22" s="43">
        <f>AVERAGE(N7:N11)</f>
        <v>2.3283064365386964E-11</v>
      </c>
      <c r="F22" s="43">
        <f>AVERAGE(M18:M22)</f>
        <v>135723.84175246983</v>
      </c>
      <c r="I22" s="44" t="s">
        <v>15</v>
      </c>
      <c r="J22" s="45">
        <f>J21</f>
        <v>20.549657275372255</v>
      </c>
      <c r="K22" s="46">
        <f>J22*$D$14</f>
        <v>204715.68577725839</v>
      </c>
      <c r="L22" s="69">
        <f>(IF($E$18=INTERCEPT($G$7:$G$11,$E$7:$E$11)/$D$14,LINEST($L$7:$L$11,$E$7:$E$11),(SUM($L$7:$L$11)/(SUM($E$7:$E$11)))))*E11</f>
        <v>244314.53222699941</v>
      </c>
      <c r="M22" s="47">
        <f>K22+L22-G11</f>
        <v>164467.51394873415</v>
      </c>
    </row>
    <row r="25" spans="3:13" x14ac:dyDescent="0.25">
      <c r="C25" t="s">
        <v>28</v>
      </c>
    </row>
  </sheetData>
  <mergeCells count="3">
    <mergeCell ref="J5:N5"/>
    <mergeCell ref="J16:M16"/>
    <mergeCell ref="C4:O4"/>
  </mergeCells>
  <conditionalFormatting sqref="D20:F22">
    <cfRule type="cellIs" dxfId="11" priority="2" operator="lessThan">
      <formula>0</formula>
    </cfRule>
  </conditionalFormatting>
  <conditionalFormatting sqref="I7:I11 N7:N11 M18:M22">
    <cfRule type="cellIs" dxfId="10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O25"/>
  <sheetViews>
    <sheetView topLeftCell="B1" workbookViewId="0">
      <selection activeCell="E20" sqref="E20"/>
    </sheetView>
  </sheetViews>
  <sheetFormatPr defaultRowHeight="15" x14ac:dyDescent="0.25"/>
  <cols>
    <col min="1" max="1" width="10.7109375" bestFit="1" customWidth="1"/>
    <col min="2" max="2" width="9.7109375" bestFit="1" customWidth="1"/>
    <col min="3" max="3" width="16.140625" customWidth="1"/>
    <col min="4" max="4" width="14.5703125" customWidth="1"/>
    <col min="5" max="5" width="17.42578125" customWidth="1"/>
    <col min="6" max="6" width="14.85546875" customWidth="1"/>
    <col min="7" max="7" width="13.7109375" customWidth="1"/>
    <col min="8" max="8" width="15.28515625" customWidth="1"/>
    <col min="9" max="9" width="25.42578125" customWidth="1"/>
    <col min="10" max="10" width="12.140625" customWidth="1"/>
    <col min="11" max="11" width="14.7109375" customWidth="1"/>
    <col min="12" max="12" width="16.85546875" customWidth="1"/>
    <col min="13" max="13" width="21.140625" bestFit="1" customWidth="1"/>
    <col min="14" max="14" width="12" customWidth="1"/>
  </cols>
  <sheetData>
    <row r="2" spans="1:15" x14ac:dyDescent="0.25">
      <c r="B2" s="1"/>
    </row>
    <row r="4" spans="1:15" ht="32.25" customHeight="1" x14ac:dyDescent="0.25">
      <c r="C4" s="79" t="s">
        <v>40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5" spans="1:15" ht="40.5" customHeight="1" x14ac:dyDescent="0.25">
      <c r="C5" s="2" t="s">
        <v>44</v>
      </c>
      <c r="D5" s="2"/>
      <c r="E5" s="2"/>
      <c r="F5" s="2"/>
      <c r="G5" s="3"/>
      <c r="H5" s="4" t="s">
        <v>0</v>
      </c>
      <c r="I5" s="48"/>
      <c r="J5" s="77" t="s">
        <v>1</v>
      </c>
      <c r="K5" s="77"/>
      <c r="L5" s="77"/>
      <c r="M5" s="77"/>
      <c r="N5" s="77"/>
    </row>
    <row r="6" spans="1:15" ht="59.25" customHeight="1" x14ac:dyDescent="0.25">
      <c r="C6" s="5" t="s">
        <v>29</v>
      </c>
      <c r="D6" s="5" t="s">
        <v>30</v>
      </c>
      <c r="E6" s="5" t="s">
        <v>31</v>
      </c>
      <c r="F6" s="5" t="s">
        <v>32</v>
      </c>
      <c r="G6" s="5" t="s">
        <v>4</v>
      </c>
      <c r="H6" s="6" t="s">
        <v>5</v>
      </c>
      <c r="I6" s="7" t="s">
        <v>6</v>
      </c>
      <c r="J6" s="8" t="s">
        <v>7</v>
      </c>
      <c r="K6" s="8" t="s">
        <v>8</v>
      </c>
      <c r="L6" s="8" t="s">
        <v>34</v>
      </c>
      <c r="M6" s="8" t="s">
        <v>9</v>
      </c>
      <c r="N6" s="8" t="s">
        <v>10</v>
      </c>
    </row>
    <row r="7" spans="1:15" ht="15.75" thickBot="1" x14ac:dyDescent="0.3">
      <c r="A7" s="9"/>
      <c r="B7" s="9"/>
      <c r="C7" s="49" t="s">
        <v>11</v>
      </c>
      <c r="D7" s="11">
        <v>1565148.375</v>
      </c>
      <c r="E7" s="50">
        <v>95211.199999999997</v>
      </c>
      <c r="F7" s="50">
        <v>133263.74562640657</v>
      </c>
      <c r="G7" s="11">
        <v>459703.06132142374</v>
      </c>
      <c r="H7" s="51">
        <f t="shared" ref="H7:H12" si="0">G7/E7</f>
        <v>4.8282456404438108</v>
      </c>
      <c r="I7" s="52">
        <f>$H$12*E7-G7</f>
        <v>31540.205072810757</v>
      </c>
      <c r="J7" s="53">
        <f>E18</f>
        <v>1.8462112715617285</v>
      </c>
      <c r="K7" s="54">
        <f>J7*$D$14</f>
        <v>250542.68530306453</v>
      </c>
      <c r="L7" s="54">
        <f>G7-K7</f>
        <v>209160.37601835921</v>
      </c>
      <c r="M7" s="54">
        <f>(IF($E$18=INTERCEPT($G$7:$G$11,$E$7:$E$11)/$D$14,LINEST($L$7:$L$11,$E$7:$E$11),(SUM($L$7:$L$11)/(SUM($E$7:$E$11)))))*E7</f>
        <v>257756.27110218146</v>
      </c>
      <c r="N7" s="55">
        <f>K7+M7-G7</f>
        <v>48595.895083822252</v>
      </c>
    </row>
    <row r="8" spans="1:15" ht="16.5" thickTop="1" thickBot="1" x14ac:dyDescent="0.3">
      <c r="A8" s="9"/>
      <c r="B8" s="9"/>
      <c r="C8" s="49" t="s">
        <v>12</v>
      </c>
      <c r="D8" s="11">
        <v>1978512</v>
      </c>
      <c r="E8" s="50">
        <v>111986.4</v>
      </c>
      <c r="F8" s="50">
        <v>133695.10950996575</v>
      </c>
      <c r="G8" s="11">
        <v>559247.74571996578</v>
      </c>
      <c r="H8" s="51">
        <f t="shared" si="0"/>
        <v>4.9938898448379963</v>
      </c>
      <c r="I8" s="52">
        <f>$H$12*E8-G8</f>
        <v>18547.355357757187</v>
      </c>
      <c r="J8" s="56">
        <f>J7</f>
        <v>1.8462112715617285</v>
      </c>
      <c r="K8" s="54">
        <f>J8*$D$14</f>
        <v>250542.68530306453</v>
      </c>
      <c r="L8" s="54">
        <f>G8-K8</f>
        <v>308705.06041690125</v>
      </c>
      <c r="M8" s="54">
        <f>(IF($E$18=INTERCEPT($G$7:$G$11,$E$7:$E$11)/$D$14,LINEST($L$7:$L$11,$E$7:$E$11),(SUM($L$7:$L$11)/(SUM($E$7:$E$11)))))*E8</f>
        <v>303170.18248018442</v>
      </c>
      <c r="N8" s="55">
        <f>K8+M8-G8</f>
        <v>-5534.87793671689</v>
      </c>
    </row>
    <row r="9" spans="1:15" ht="16.5" thickTop="1" thickBot="1" x14ac:dyDescent="0.3">
      <c r="A9" s="9"/>
      <c r="B9" s="9"/>
      <c r="C9" s="49" t="s">
        <v>13</v>
      </c>
      <c r="D9" s="11">
        <v>2047021.2999999998</v>
      </c>
      <c r="E9" s="50">
        <v>118745.8</v>
      </c>
      <c r="F9" s="50">
        <v>137244.83273527032</v>
      </c>
      <c r="G9" s="11">
        <v>577370.76724127028</v>
      </c>
      <c r="H9" s="51">
        <f t="shared" si="0"/>
        <v>4.8622415886816226</v>
      </c>
      <c r="I9" s="52">
        <f>$H$12*E9-G9</f>
        <v>35299.534809291945</v>
      </c>
      <c r="J9" s="56">
        <f>J8</f>
        <v>1.8462112715617285</v>
      </c>
      <c r="K9" s="54">
        <f>J9*$D$14</f>
        <v>250542.68530306453</v>
      </c>
      <c r="L9" s="54">
        <f>G9-K9</f>
        <v>326828.08193820575</v>
      </c>
      <c r="M9" s="54">
        <f>(IF($E$18=INTERCEPT($G$7:$G$11,$E$7:$E$11)/$D$14,LINEST($L$7:$L$11,$E$7:$E$11),(SUM($L$7:$L$11)/(SUM($E$7:$E$11)))))*E9</f>
        <v>321469.26639980823</v>
      </c>
      <c r="N9" s="55">
        <f>K9+M9-G9</f>
        <v>-5358.8155383975245</v>
      </c>
    </row>
    <row r="10" spans="1:15" ht="16.5" thickTop="1" thickBot="1" x14ac:dyDescent="0.3">
      <c r="A10" s="9"/>
      <c r="B10" s="9"/>
      <c r="C10" s="49" t="s">
        <v>14</v>
      </c>
      <c r="D10" s="11">
        <v>1889862.5</v>
      </c>
      <c r="E10" s="50">
        <v>102363.6</v>
      </c>
      <c r="F10" s="50">
        <v>134040.40901766595</v>
      </c>
      <c r="G10" s="11">
        <v>540735.52358766587</v>
      </c>
      <c r="H10" s="51">
        <f t="shared" si="0"/>
        <v>5.2824981105360287</v>
      </c>
      <c r="I10" s="52">
        <f>$H$12*E10-G10</f>
        <v>-12589.368262737058</v>
      </c>
      <c r="J10" s="56">
        <f>J9</f>
        <v>1.8462112715617285</v>
      </c>
      <c r="K10" s="54">
        <f>J10*$D$14</f>
        <v>250542.68530306453</v>
      </c>
      <c r="L10" s="54">
        <f>G10-K10</f>
        <v>290192.83828460134</v>
      </c>
      <c r="M10" s="54">
        <f>(IF($E$18=INTERCEPT($G$7:$G$11,$E$7:$E$11)/$D$14,LINEST($L$7:$L$11,$E$7:$E$11),(SUM($L$7:$L$11)/(SUM($E$7:$E$11)))))*E10</f>
        <v>277119.28672882251</v>
      </c>
      <c r="N10" s="55">
        <f>K10+M10-G10</f>
        <v>-13073.551555778831</v>
      </c>
    </row>
    <row r="11" spans="1:15" ht="16.5" thickTop="1" thickBot="1" x14ac:dyDescent="0.3">
      <c r="A11" s="9"/>
      <c r="B11" s="9"/>
      <c r="C11" s="49" t="s">
        <v>15</v>
      </c>
      <c r="D11" s="11">
        <v>1724231.2000000002</v>
      </c>
      <c r="E11" s="50">
        <v>82523.8</v>
      </c>
      <c r="F11" s="50">
        <v>127118.18472236821</v>
      </c>
      <c r="G11" s="11">
        <v>498580.20915636816</v>
      </c>
      <c r="H11" s="51">
        <f t="shared" si="0"/>
        <v>6.0416535491139305</v>
      </c>
      <c r="I11" s="52">
        <f>$H$12*E11-G11</f>
        <v>-72797.72697712318</v>
      </c>
      <c r="J11" s="56">
        <f>J10</f>
        <v>1.8462112715617285</v>
      </c>
      <c r="K11" s="54">
        <f>J11*$D$14</f>
        <v>250542.68530306453</v>
      </c>
      <c r="L11" s="54">
        <f>G11-K11</f>
        <v>248037.52385330363</v>
      </c>
      <c r="M11" s="54">
        <f>(IF($E$18=INTERCEPT($G$7:$G$11,$E$7:$E$11)/$D$14,LINEST($L$7:$L$11,$E$7:$E$11),(SUM($L$7:$L$11)/(SUM($E$7:$E$11)))))*E11</f>
        <v>223408.87380037436</v>
      </c>
      <c r="N11" s="55">
        <f>K11+M11-G11</f>
        <v>-24628.650052929297</v>
      </c>
    </row>
    <row r="12" spans="1:15" ht="15.75" thickTop="1" x14ac:dyDescent="0.25">
      <c r="C12" s="20" t="s">
        <v>16</v>
      </c>
      <c r="D12" s="21">
        <f>AVERAGE(D7:D11)</f>
        <v>1840955.075</v>
      </c>
      <c r="E12" s="21">
        <f>AVERAGE(E7:E11)</f>
        <v>102166.16</v>
      </c>
      <c r="F12" s="21">
        <f>AVERAGE(F7:F11)</f>
        <v>133072.45632233538</v>
      </c>
      <c r="G12" s="21">
        <f>AVERAGE(G7:G11)</f>
        <v>527127.46140533872</v>
      </c>
      <c r="H12" s="57">
        <f t="shared" si="0"/>
        <v>5.1595113431427659</v>
      </c>
      <c r="I12" s="58"/>
      <c r="J12" s="24"/>
      <c r="K12" s="25"/>
      <c r="L12" s="25"/>
      <c r="M12" s="25"/>
      <c r="N12" s="26"/>
    </row>
    <row r="13" spans="1:15" ht="15.75" thickBot="1" x14ac:dyDescent="0.3">
      <c r="C13" s="27"/>
      <c r="D13" s="28"/>
      <c r="E13" s="28"/>
      <c r="F13" s="28"/>
      <c r="G13" s="59"/>
      <c r="H13" s="60"/>
      <c r="I13" s="19"/>
      <c r="J13" s="19"/>
      <c r="K13" s="19"/>
      <c r="L13" s="19"/>
    </row>
    <row r="14" spans="1:15" ht="15.75" thickBot="1" x14ac:dyDescent="0.3">
      <c r="C14" s="31" t="s">
        <v>17</v>
      </c>
      <c r="D14" s="32">
        <v>135706.4</v>
      </c>
      <c r="E14" s="61" t="s">
        <v>18</v>
      </c>
      <c r="F14" s="32">
        <f>E12</f>
        <v>102166.16</v>
      </c>
      <c r="G14" s="28"/>
      <c r="H14" s="59"/>
      <c r="I14" s="60"/>
      <c r="J14" s="19"/>
      <c r="K14" s="19"/>
      <c r="L14" s="19"/>
      <c r="M14" s="19"/>
    </row>
    <row r="16" spans="1:15" x14ac:dyDescent="0.25">
      <c r="C16" s="34"/>
      <c r="D16" s="34" t="s">
        <v>19</v>
      </c>
      <c r="E16" s="34" t="s">
        <v>20</v>
      </c>
      <c r="F16" s="34" t="s">
        <v>21</v>
      </c>
      <c r="I16" s="35"/>
      <c r="J16" s="77" t="s">
        <v>22</v>
      </c>
      <c r="K16" s="77"/>
      <c r="L16" s="77"/>
      <c r="M16" s="77"/>
    </row>
    <row r="17" spans="3:13" ht="45" x14ac:dyDescent="0.25">
      <c r="C17" s="34"/>
      <c r="D17" s="34" t="s">
        <v>23</v>
      </c>
      <c r="E17" s="34" t="s">
        <v>24</v>
      </c>
      <c r="F17" s="34" t="s">
        <v>25</v>
      </c>
      <c r="I17" s="35"/>
      <c r="J17" s="8" t="s">
        <v>7</v>
      </c>
      <c r="K17" s="8" t="s">
        <v>8</v>
      </c>
      <c r="L17" s="8" t="s">
        <v>9</v>
      </c>
      <c r="M17" s="8" t="s">
        <v>10</v>
      </c>
    </row>
    <row r="18" spans="3:13" ht="30.75" thickBot="1" x14ac:dyDescent="0.3">
      <c r="C18" s="36" t="s">
        <v>26</v>
      </c>
      <c r="D18" s="37">
        <v>0</v>
      </c>
      <c r="E18" s="37">
        <f>IF(AND(INTERCEPT(G7:G11,E7:E11)&lt;AVERAGE(G7:G11),INTERCEPT(G7:G11,E7:E11)/D14&gt;0),(INTERCEPT(G7:G11,E7:E11))/D14,AVERAGE(F7:F11)/D14)</f>
        <v>1.8462112715617285</v>
      </c>
      <c r="F18" s="37">
        <v>2.0276960803322015</v>
      </c>
      <c r="G18" s="62"/>
      <c r="I18" s="39" t="s">
        <v>11</v>
      </c>
      <c r="J18" s="53">
        <f>F18</f>
        <v>2.0276960803322015</v>
      </c>
      <c r="K18" s="54">
        <f>J18*$D$14</f>
        <v>275171.33535599388</v>
      </c>
      <c r="L18" s="54">
        <f>(IF($E$18=INTERCEPT($G$7:$G$11,$E$7:$E$11)/$D$14,LINEST($L$7:$L$11,$E$7:$E$11),(SUM($L$7:$L$11)/(SUM($E$7:$E$11)))))*E7</f>
        <v>257756.27110218146</v>
      </c>
      <c r="M18" s="55">
        <f>K18+L18-G7</f>
        <v>73224.545136751607</v>
      </c>
    </row>
    <row r="19" spans="3:13" ht="30.75" thickBot="1" x14ac:dyDescent="0.3">
      <c r="C19" s="36" t="s">
        <v>27</v>
      </c>
      <c r="D19" s="37">
        <f>H12</f>
        <v>5.1595113431427659</v>
      </c>
      <c r="E19" s="37">
        <f>IF(E18=INTERCEPT(G7:G11,E7:E11)/D14,LINEST(L7:L11,E7:E11),(SUM(L7:L11)/(SUM(E7:E11))))</f>
        <v>2.7072053613669556</v>
      </c>
      <c r="F19" s="37">
        <f>E19</f>
        <v>2.7072053613669556</v>
      </c>
      <c r="G19" s="63"/>
      <c r="H19" s="63"/>
      <c r="I19" s="39" t="s">
        <v>12</v>
      </c>
      <c r="J19" s="53">
        <f>J18</f>
        <v>2.0276960803322015</v>
      </c>
      <c r="K19" s="54">
        <f>J19*$D$14</f>
        <v>275171.33535599388</v>
      </c>
      <c r="L19" s="54">
        <f>(IF($E$18=INTERCEPT($G$7:$G$11,$E$7:$E$11)/$D$14,LINEST($L$7:$L$11,$E$7:$E$11),(SUM($L$7:$L$11)/(SUM($E$7:$E$11)))))*E8</f>
        <v>303170.18248018442</v>
      </c>
      <c r="M19" s="55">
        <f>K19+L19-G8</f>
        <v>19093.772116212524</v>
      </c>
    </row>
    <row r="20" spans="3:13" ht="45.75" thickBot="1" x14ac:dyDescent="0.3">
      <c r="C20" s="41" t="s">
        <v>36</v>
      </c>
      <c r="D20" s="42">
        <f>MIN(I7:I11)</f>
        <v>-72797.72697712318</v>
      </c>
      <c r="E20" s="42">
        <f>MIN(N7:N11)</f>
        <v>-24628.650052929297</v>
      </c>
      <c r="F20" s="42">
        <f>MIN(M18:M22)</f>
        <v>0</v>
      </c>
      <c r="G20" s="63"/>
      <c r="H20" s="63"/>
      <c r="I20" s="39" t="s">
        <v>13</v>
      </c>
      <c r="J20" s="53">
        <f>J19</f>
        <v>2.0276960803322015</v>
      </c>
      <c r="K20" s="54">
        <f>J20*$D$14</f>
        <v>275171.33535599388</v>
      </c>
      <c r="L20" s="54">
        <f>(IF($E$18=INTERCEPT($G$7:$G$11,$E$7:$E$11)/$D$14,LINEST($L$7:$L$11,$E$7:$E$11),(SUM($L$7:$L$11)/(SUM($E$7:$E$11)))))*E9</f>
        <v>321469.26639980823</v>
      </c>
      <c r="M20" s="55">
        <f>K20+L20-G9</f>
        <v>19269.834514531773</v>
      </c>
    </row>
    <row r="21" spans="3:13" ht="45.75" thickBot="1" x14ac:dyDescent="0.3">
      <c r="C21" s="36" t="s">
        <v>38</v>
      </c>
      <c r="D21" s="42">
        <f>MAX(I7:I11)</f>
        <v>35299.534809291945</v>
      </c>
      <c r="E21" s="43">
        <f>MAX(N7:N11)</f>
        <v>48595.895083822252</v>
      </c>
      <c r="F21" s="43">
        <f>MAX(M18:M22)</f>
        <v>73224.545136751607</v>
      </c>
      <c r="I21" s="39" t="s">
        <v>14</v>
      </c>
      <c r="J21" s="53">
        <f>J20</f>
        <v>2.0276960803322015</v>
      </c>
      <c r="K21" s="54">
        <f>J21*$D$14</f>
        <v>275171.33535599388</v>
      </c>
      <c r="L21" s="54">
        <f>(IF($E$18=INTERCEPT($G$7:$G$11,$E$7:$E$11)/$D$14,LINEST($L$7:$L$11,$E$7:$E$11),(SUM($L$7:$L$11)/(SUM($E$7:$E$11)))))*E10</f>
        <v>277119.28672882251</v>
      </c>
      <c r="M21" s="55">
        <f>K21+L21-G10</f>
        <v>11555.098497150582</v>
      </c>
    </row>
    <row r="22" spans="3:13" ht="45.75" thickBot="1" x14ac:dyDescent="0.3">
      <c r="C22" s="36" t="s">
        <v>37</v>
      </c>
      <c r="D22" s="43">
        <f>AVERAGE(I7:I11)</f>
        <v>-6.9849193096160886E-11</v>
      </c>
      <c r="E22" s="43">
        <f>AVERAGE(N7:N11)</f>
        <v>-5.8207660913467407E-11</v>
      </c>
      <c r="F22" s="43">
        <f>AVERAGE(M18:M22)</f>
        <v>24628.650052929297</v>
      </c>
      <c r="I22" s="44" t="s">
        <v>15</v>
      </c>
      <c r="J22" s="64">
        <f>J21</f>
        <v>2.0276960803322015</v>
      </c>
      <c r="K22" s="65">
        <f>J22*$D$14</f>
        <v>275171.33535599388</v>
      </c>
      <c r="L22" s="65">
        <f>(IF($E$18=INTERCEPT($G$7:$G$11,$E$7:$E$11)/$D$14,LINEST($L$7:$L$11,$E$7:$E$11),(SUM($L$7:$L$11)/(SUM($E$7:$E$11)))))*E11</f>
        <v>223408.87380037436</v>
      </c>
      <c r="M22" s="66">
        <f>K22+L22-G11</f>
        <v>0</v>
      </c>
    </row>
    <row r="25" spans="3:13" x14ac:dyDescent="0.25">
      <c r="C25" t="s">
        <v>28</v>
      </c>
    </row>
  </sheetData>
  <mergeCells count="3">
    <mergeCell ref="J5:N5"/>
    <mergeCell ref="J16:M16"/>
    <mergeCell ref="C4:O4"/>
  </mergeCells>
  <conditionalFormatting sqref="D20:F22">
    <cfRule type="cellIs" dxfId="9" priority="2" operator="lessThan">
      <formula>0</formula>
    </cfRule>
  </conditionalFormatting>
  <conditionalFormatting sqref="I7:I11 N7:N11 M18:M22">
    <cfRule type="cellIs" dxfId="8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O25"/>
  <sheetViews>
    <sheetView workbookViewId="0">
      <selection activeCell="E18" sqref="E18"/>
    </sheetView>
  </sheetViews>
  <sheetFormatPr defaultRowHeight="15" x14ac:dyDescent="0.25"/>
  <cols>
    <col min="1" max="1" width="10.7109375" bestFit="1" customWidth="1"/>
    <col min="2" max="2" width="9.7109375" bestFit="1" customWidth="1"/>
    <col min="3" max="3" width="16.140625" customWidth="1"/>
    <col min="4" max="4" width="14.5703125" customWidth="1"/>
    <col min="5" max="5" width="17.42578125" customWidth="1"/>
    <col min="6" max="6" width="14.85546875" customWidth="1"/>
    <col min="7" max="7" width="13.7109375" customWidth="1"/>
    <col min="8" max="8" width="15.28515625" customWidth="1"/>
    <col min="9" max="9" width="25.42578125" customWidth="1"/>
    <col min="10" max="10" width="12.140625" customWidth="1"/>
    <col min="11" max="11" width="14.7109375" customWidth="1"/>
    <col min="12" max="12" width="16.85546875" customWidth="1"/>
    <col min="13" max="13" width="21.140625" bestFit="1" customWidth="1"/>
  </cols>
  <sheetData>
    <row r="2" spans="1:15" x14ac:dyDescent="0.25">
      <c r="B2" s="1"/>
    </row>
    <row r="4" spans="1:15" ht="32.25" customHeight="1" x14ac:dyDescent="0.25">
      <c r="C4" s="79" t="s">
        <v>40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5" spans="1:15" ht="40.5" customHeight="1" x14ac:dyDescent="0.25">
      <c r="C5" s="2" t="s">
        <v>45</v>
      </c>
      <c r="D5" s="2"/>
      <c r="E5" s="2"/>
      <c r="F5" s="2"/>
      <c r="G5" s="3"/>
      <c r="H5" s="4" t="s">
        <v>0</v>
      </c>
      <c r="I5" s="77" t="s">
        <v>1</v>
      </c>
      <c r="J5" s="77"/>
      <c r="K5" s="77"/>
      <c r="L5" s="77"/>
    </row>
    <row r="6" spans="1:15" ht="59.25" customHeight="1" x14ac:dyDescent="0.25">
      <c r="C6" s="5" t="s">
        <v>29</v>
      </c>
      <c r="D6" s="5" t="s">
        <v>30</v>
      </c>
      <c r="E6" s="5" t="s">
        <v>31</v>
      </c>
      <c r="F6" s="5" t="s">
        <v>4</v>
      </c>
      <c r="G6" s="6" t="s">
        <v>5</v>
      </c>
      <c r="H6" s="7" t="s">
        <v>6</v>
      </c>
      <c r="I6" s="8" t="s">
        <v>7</v>
      </c>
      <c r="J6" s="8" t="s">
        <v>8</v>
      </c>
      <c r="K6" s="8" t="s">
        <v>9</v>
      </c>
      <c r="L6" s="8" t="s">
        <v>10</v>
      </c>
    </row>
    <row r="7" spans="1:15" ht="15.75" thickBot="1" x14ac:dyDescent="0.3">
      <c r="A7" s="9"/>
      <c r="B7" s="9"/>
      <c r="C7" s="10" t="s">
        <v>11</v>
      </c>
      <c r="D7" s="11">
        <v>363024.58000000007</v>
      </c>
      <c r="E7" s="12">
        <v>13254</v>
      </c>
      <c r="F7" s="11">
        <v>187146.91004460008</v>
      </c>
      <c r="G7" s="13">
        <f t="shared" ref="G7:G12" si="0">F7/E7</f>
        <v>14.120032446401092</v>
      </c>
      <c r="H7" s="14">
        <f>$G$12*E7-F7</f>
        <v>245.21652015892323</v>
      </c>
      <c r="I7" s="15">
        <f>E18</f>
        <v>-0.76291751362573668</v>
      </c>
      <c r="J7" s="16">
        <f>I7*$D$14</f>
        <v>-29700.378805449927</v>
      </c>
      <c r="K7" s="13">
        <f>LINEST('Bowen Broken'!$F$7:$F$11,'Bowen Broken'!$E$7:$E$11)*E7</f>
        <v>214432.53244253123</v>
      </c>
      <c r="L7" s="17">
        <f>J7+K7-F7</f>
        <v>-2414.7564075187838</v>
      </c>
    </row>
    <row r="8" spans="1:15" ht="16.5" thickTop="1" thickBot="1" x14ac:dyDescent="0.3">
      <c r="A8" s="9"/>
      <c r="B8" s="9"/>
      <c r="C8" s="10" t="s">
        <v>12</v>
      </c>
      <c r="D8" s="11">
        <v>497483.94999999972</v>
      </c>
      <c r="E8" s="12">
        <v>16894</v>
      </c>
      <c r="F8" s="11">
        <v>256149.92707339989</v>
      </c>
      <c r="G8" s="13">
        <f t="shared" si="0"/>
        <v>15.162183442251679</v>
      </c>
      <c r="H8" s="14">
        <f>$G$12*E8-F8</f>
        <v>-17293.537592108332</v>
      </c>
      <c r="I8" s="18">
        <f>I7</f>
        <v>-0.76291751362573668</v>
      </c>
      <c r="J8" s="16">
        <f>I8*$D$14</f>
        <v>-29700.378805449927</v>
      </c>
      <c r="K8" s="16">
        <f>LINEST('Bowen Broken'!$F$7:$F$11,'Bowen Broken'!$E$7:$E$11)*E8</f>
        <v>273323.01215362328</v>
      </c>
      <c r="L8" s="17">
        <f>J8+K8-F8</f>
        <v>-12527.29372522654</v>
      </c>
    </row>
    <row r="9" spans="1:15" ht="16.5" thickTop="1" thickBot="1" x14ac:dyDescent="0.3">
      <c r="A9" s="9"/>
      <c r="B9" s="9"/>
      <c r="C9" s="10" t="s">
        <v>13</v>
      </c>
      <c r="D9" s="11">
        <v>530119.48000000056</v>
      </c>
      <c r="E9" s="12">
        <v>17251</v>
      </c>
      <c r="F9" s="11">
        <v>266950.53534540022</v>
      </c>
      <c r="G9" s="13">
        <f t="shared" si="0"/>
        <v>15.474496281108355</v>
      </c>
      <c r="H9" s="14">
        <f>$G$12*E9-F9</f>
        <v>-23046.689308833331</v>
      </c>
      <c r="I9" s="18">
        <f>I8</f>
        <v>-0.76291751362573668</v>
      </c>
      <c r="J9" s="16">
        <f>I9*$D$14</f>
        <v>-29700.378805449927</v>
      </c>
      <c r="K9" s="16">
        <f>LINEST('Bowen Broken'!$F$7:$F$11,'Bowen Broken'!$E$7:$E$11)*E9</f>
        <v>279098.80920221115</v>
      </c>
      <c r="L9" s="17">
        <f>J9+K9-F9</f>
        <v>-17552.104948638997</v>
      </c>
    </row>
    <row r="10" spans="1:15" ht="16.5" thickTop="1" thickBot="1" x14ac:dyDescent="0.3">
      <c r="A10" s="9"/>
      <c r="B10" s="9"/>
      <c r="C10" s="10" t="s">
        <v>14</v>
      </c>
      <c r="D10" s="11">
        <v>374443.86000000022</v>
      </c>
      <c r="E10" s="12">
        <v>11362</v>
      </c>
      <c r="F10" s="11">
        <v>188107.28218610011</v>
      </c>
      <c r="G10" s="13">
        <f t="shared" si="0"/>
        <v>16.555824871158258</v>
      </c>
      <c r="H10" s="14">
        <f>$G$12*E10-F10</f>
        <v>-27465.261510923447</v>
      </c>
      <c r="I10" s="18">
        <f>I9</f>
        <v>-0.76291751362573668</v>
      </c>
      <c r="J10" s="16">
        <f>I10*$D$14</f>
        <v>-29700.378805449927</v>
      </c>
      <c r="K10" s="16">
        <f>LINEST('Bowen Broken'!$F$7:$F$11,'Bowen Broken'!$E$7:$E$11)*E10</f>
        <v>183822.42595533724</v>
      </c>
      <c r="L10" s="17">
        <f>J10+K10-F10</f>
        <v>-33985.235036212805</v>
      </c>
    </row>
    <row r="11" spans="1:15" ht="16.5" thickTop="1" thickBot="1" x14ac:dyDescent="0.3">
      <c r="A11" s="9"/>
      <c r="B11" s="9"/>
      <c r="C11" s="10" t="s">
        <v>15</v>
      </c>
      <c r="D11" s="11">
        <v>262060.48000000004</v>
      </c>
      <c r="E11" s="12">
        <v>14028</v>
      </c>
      <c r="F11" s="11">
        <v>130775.07980970001</v>
      </c>
      <c r="G11" s="13">
        <f t="shared" si="0"/>
        <v>9.3224322647348163</v>
      </c>
      <c r="H11" s="14">
        <f>$G$12*E11-F11</f>
        <v>67560.271891706288</v>
      </c>
      <c r="I11" s="18">
        <f>I10</f>
        <v>-0.76291751362573668</v>
      </c>
      <c r="J11" s="16">
        <f>I11*$D$14</f>
        <v>-29700.378805449927</v>
      </c>
      <c r="K11" s="16">
        <f>LINEST('Bowen Broken'!$F$7:$F$11,'Bowen Broken'!$E$7:$E$11)*E11</f>
        <v>226954.84873274696</v>
      </c>
      <c r="L11" s="17">
        <f>J11+K11-F11</f>
        <v>66479.390117597024</v>
      </c>
    </row>
    <row r="12" spans="1:15" ht="15.75" thickTop="1" x14ac:dyDescent="0.25">
      <c r="C12" s="20" t="s">
        <v>16</v>
      </c>
      <c r="D12" s="21">
        <f>AVERAGE(D7:D11)</f>
        <v>405426.47000000009</v>
      </c>
      <c r="E12" s="21">
        <f>AVERAGE(E7:E11)</f>
        <v>14557.8</v>
      </c>
      <c r="F12" s="21">
        <f>AVERAGE(F7:F11)</f>
        <v>205825.94689184008</v>
      </c>
      <c r="G12" s="22">
        <f t="shared" si="0"/>
        <v>14.13853376827818</v>
      </c>
      <c r="H12" s="23"/>
      <c r="I12" s="24"/>
      <c r="J12" s="25"/>
      <c r="K12" s="25"/>
      <c r="L12" s="26"/>
    </row>
    <row r="13" spans="1:15" ht="15.75" thickBot="1" x14ac:dyDescent="0.3">
      <c r="C13" s="27"/>
      <c r="D13" s="28"/>
      <c r="E13" s="28"/>
      <c r="F13" s="28"/>
      <c r="G13" s="29"/>
      <c r="H13" s="30"/>
      <c r="I13" s="19"/>
      <c r="J13" s="19"/>
      <c r="K13" s="19"/>
      <c r="L13" s="19"/>
    </row>
    <row r="14" spans="1:15" ht="15.75" thickBot="1" x14ac:dyDescent="0.3">
      <c r="C14" s="31" t="s">
        <v>17</v>
      </c>
      <c r="D14" s="32">
        <v>38930</v>
      </c>
      <c r="E14" s="33" t="s">
        <v>18</v>
      </c>
      <c r="F14" s="32">
        <f>E12</f>
        <v>14557.8</v>
      </c>
      <c r="G14" s="28"/>
      <c r="H14" s="29"/>
      <c r="I14" s="30"/>
      <c r="J14" s="19"/>
      <c r="K14" s="19"/>
      <c r="L14" s="19"/>
      <c r="M14" s="19"/>
    </row>
    <row r="16" spans="1:15" x14ac:dyDescent="0.25">
      <c r="C16" s="34"/>
      <c r="D16" s="34" t="s">
        <v>19</v>
      </c>
      <c r="E16" s="34" t="s">
        <v>20</v>
      </c>
      <c r="F16" s="34" t="s">
        <v>21</v>
      </c>
      <c r="I16" s="35"/>
      <c r="J16" s="77" t="s">
        <v>22</v>
      </c>
      <c r="K16" s="77"/>
      <c r="L16" s="77"/>
      <c r="M16" s="77"/>
    </row>
    <row r="17" spans="3:13" ht="45" x14ac:dyDescent="0.25">
      <c r="C17" s="34"/>
      <c r="D17" s="34" t="s">
        <v>23</v>
      </c>
      <c r="E17" s="34" t="s">
        <v>24</v>
      </c>
      <c r="F17" s="34" t="s">
        <v>25</v>
      </c>
      <c r="I17" s="35"/>
      <c r="J17" s="8" t="s">
        <v>7</v>
      </c>
      <c r="K17" s="8" t="s">
        <v>8</v>
      </c>
      <c r="L17" s="8" t="s">
        <v>9</v>
      </c>
      <c r="M17" s="8" t="s">
        <v>10</v>
      </c>
    </row>
    <row r="18" spans="3:13" ht="30.75" thickBot="1" x14ac:dyDescent="0.3">
      <c r="C18" s="36" t="s">
        <v>26</v>
      </c>
      <c r="D18" s="37">
        <v>0</v>
      </c>
      <c r="E18" s="37">
        <f>INTERCEPT(F7:F11,E7:E11)/D14</f>
        <v>-0.76291751362573668</v>
      </c>
      <c r="F18" s="37">
        <v>0.11006566223382659</v>
      </c>
      <c r="G18" s="38"/>
      <c r="I18" s="39" t="s">
        <v>11</v>
      </c>
      <c r="J18" s="15">
        <f>F18</f>
        <v>0.11006566223382659</v>
      </c>
      <c r="K18" s="16">
        <f>J18*$D$14</f>
        <v>4284.856230762869</v>
      </c>
      <c r="L18" s="16">
        <f>LINEST('Bowen Broken'!$F$7:$F$11,'Bowen Broken'!$E$7:$E$11)*E7</f>
        <v>214432.53244253123</v>
      </c>
      <c r="M18" s="17">
        <f>K18+L18-F7</f>
        <v>31570.478628694022</v>
      </c>
    </row>
    <row r="19" spans="3:13" ht="30.75" thickBot="1" x14ac:dyDescent="0.3">
      <c r="C19" s="36" t="s">
        <v>27</v>
      </c>
      <c r="D19" s="37">
        <f>G12</f>
        <v>14.13853376827818</v>
      </c>
      <c r="E19" s="37">
        <f>LINEST(F7:F11,E7:E11)</f>
        <v>16.178703217332973</v>
      </c>
      <c r="F19" s="37">
        <f>E19</f>
        <v>16.178703217332973</v>
      </c>
      <c r="G19" s="40"/>
      <c r="H19" s="40"/>
      <c r="I19" s="39" t="s">
        <v>12</v>
      </c>
      <c r="J19" s="15">
        <f>J18</f>
        <v>0.11006566223382659</v>
      </c>
      <c r="K19" s="16">
        <f>J19*$D$14</f>
        <v>4284.856230762869</v>
      </c>
      <c r="L19" s="16">
        <f>LINEST('Bowen Broken'!$F$7:$F$11,'Bowen Broken'!$E$7:$E$11)*E8</f>
        <v>273323.01215362328</v>
      </c>
      <c r="M19" s="17">
        <f>K19+L19-F8</f>
        <v>21457.941310986236</v>
      </c>
    </row>
    <row r="20" spans="3:13" ht="45.75" thickBot="1" x14ac:dyDescent="0.3">
      <c r="C20" s="41" t="s">
        <v>36</v>
      </c>
      <c r="D20" s="42">
        <f>MIN(H7:H11)</f>
        <v>-27465.261510923447</v>
      </c>
      <c r="E20" s="42">
        <f>MIN(L7:L11)</f>
        <v>-33985.235036212805</v>
      </c>
      <c r="F20" s="42">
        <f>MIN(M18:M22)</f>
        <v>0</v>
      </c>
      <c r="G20" s="40"/>
      <c r="H20" s="40"/>
      <c r="I20" s="39" t="s">
        <v>13</v>
      </c>
      <c r="J20" s="15">
        <f>J19</f>
        <v>0.11006566223382659</v>
      </c>
      <c r="K20" s="16">
        <f>J20*$D$14</f>
        <v>4284.856230762869</v>
      </c>
      <c r="L20" s="16">
        <f>LINEST('Bowen Broken'!$F$7:$F$11,'Bowen Broken'!$E$7:$E$11)*E9</f>
        <v>279098.80920221115</v>
      </c>
      <c r="M20" s="17">
        <f>K20+L20-F9</f>
        <v>16433.13008757378</v>
      </c>
    </row>
    <row r="21" spans="3:13" ht="45.75" thickBot="1" x14ac:dyDescent="0.3">
      <c r="C21" s="36" t="s">
        <v>38</v>
      </c>
      <c r="D21" s="42">
        <f>MAX(H7:H11)</f>
        <v>67560.271891706288</v>
      </c>
      <c r="E21" s="43">
        <f>MAX(L7:L11)</f>
        <v>66479.390117597024</v>
      </c>
      <c r="F21" s="43">
        <f>MAX(M18:M22)</f>
        <v>100464.62515380983</v>
      </c>
      <c r="I21" s="39" t="s">
        <v>14</v>
      </c>
      <c r="J21" s="15">
        <f>J20</f>
        <v>0.11006566223382659</v>
      </c>
      <c r="K21" s="16">
        <f>J21*$D$14</f>
        <v>4284.856230762869</v>
      </c>
      <c r="L21" s="16">
        <f>LINEST('Bowen Broken'!$F$7:$F$11,'Bowen Broken'!$E$7:$E$11)*E10</f>
        <v>183822.42595533724</v>
      </c>
      <c r="M21" s="17">
        <f>K21+L21-F10</f>
        <v>0</v>
      </c>
    </row>
    <row r="22" spans="3:13" ht="45.75" thickBot="1" x14ac:dyDescent="0.3">
      <c r="C22" s="36" t="s">
        <v>37</v>
      </c>
      <c r="D22" s="43">
        <f>AVERAGE(H7:H11)</f>
        <v>0</v>
      </c>
      <c r="E22" s="43">
        <f>AVERAGE(L7:L11)</f>
        <v>0</v>
      </c>
      <c r="F22" s="43">
        <f>AVERAGE(M18:M22)</f>
        <v>33985.235036212776</v>
      </c>
      <c r="I22" s="44" t="s">
        <v>15</v>
      </c>
      <c r="J22" s="45">
        <f>J21</f>
        <v>0.11006566223382659</v>
      </c>
      <c r="K22" s="46">
        <f>J22*$D$14</f>
        <v>4284.856230762869</v>
      </c>
      <c r="L22" s="46">
        <f>LINEST('Bowen Broken'!$F$7:$F$11,'Bowen Broken'!$E$7:$E$11)*E11</f>
        <v>226954.84873274696</v>
      </c>
      <c r="M22" s="47">
        <f>K22+L22-F11</f>
        <v>100464.62515380983</v>
      </c>
    </row>
    <row r="25" spans="3:13" x14ac:dyDescent="0.25">
      <c r="C25" t="s">
        <v>28</v>
      </c>
    </row>
  </sheetData>
  <mergeCells count="3">
    <mergeCell ref="I5:L5"/>
    <mergeCell ref="J16:M16"/>
    <mergeCell ref="C4:O4"/>
  </mergeCells>
  <conditionalFormatting sqref="D20:F22">
    <cfRule type="cellIs" dxfId="7" priority="2" operator="lessThan">
      <formula>0</formula>
    </cfRule>
  </conditionalFormatting>
  <conditionalFormatting sqref="H7:H11 L7:L11 M18:M22">
    <cfRule type="cellIs" dxfId="6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O25"/>
  <sheetViews>
    <sheetView workbookViewId="0">
      <selection activeCell="E19" sqref="E19"/>
    </sheetView>
  </sheetViews>
  <sheetFormatPr defaultRowHeight="15" x14ac:dyDescent="0.25"/>
  <cols>
    <col min="1" max="1" width="10.7109375" bestFit="1" customWidth="1"/>
    <col min="2" max="2" width="9.7109375" bestFit="1" customWidth="1"/>
    <col min="3" max="3" width="16.140625" customWidth="1"/>
    <col min="4" max="4" width="14.5703125" customWidth="1"/>
    <col min="5" max="5" width="17.42578125" customWidth="1"/>
    <col min="6" max="6" width="14.85546875" customWidth="1"/>
    <col min="7" max="7" width="13.7109375" customWidth="1"/>
    <col min="8" max="8" width="15.28515625" customWidth="1"/>
    <col min="9" max="9" width="25.42578125" customWidth="1"/>
    <col min="10" max="10" width="12.140625" customWidth="1"/>
    <col min="11" max="11" width="14.7109375" customWidth="1"/>
    <col min="12" max="12" width="16.85546875" customWidth="1"/>
    <col min="13" max="13" width="21.140625" bestFit="1" customWidth="1"/>
    <col min="14" max="14" width="10.5703125" bestFit="1" customWidth="1"/>
  </cols>
  <sheetData>
    <row r="2" spans="1:15" x14ac:dyDescent="0.25">
      <c r="B2" s="1"/>
    </row>
    <row r="4" spans="1:15" ht="32.25" customHeight="1" x14ac:dyDescent="0.25">
      <c r="C4" s="79" t="s">
        <v>40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5" spans="1:15" ht="40.5" customHeight="1" x14ac:dyDescent="0.25">
      <c r="C5" s="2" t="s">
        <v>46</v>
      </c>
      <c r="D5" s="2"/>
      <c r="E5" s="2"/>
      <c r="F5" s="2"/>
      <c r="G5" s="2"/>
      <c r="H5" s="3"/>
      <c r="I5" s="4" t="s">
        <v>0</v>
      </c>
      <c r="J5" s="76" t="s">
        <v>1</v>
      </c>
      <c r="K5" s="77"/>
      <c r="L5" s="77"/>
      <c r="M5" s="77"/>
      <c r="N5" s="77"/>
    </row>
    <row r="6" spans="1:15" ht="59.25" customHeight="1" x14ac:dyDescent="0.25">
      <c r="C6" s="5" t="s">
        <v>2</v>
      </c>
      <c r="D6" s="5" t="s">
        <v>30</v>
      </c>
      <c r="E6" s="5" t="s">
        <v>31</v>
      </c>
      <c r="F6" s="5" t="s">
        <v>33</v>
      </c>
      <c r="G6" s="5" t="s">
        <v>4</v>
      </c>
      <c r="H6" s="6" t="s">
        <v>5</v>
      </c>
      <c r="I6" s="7" t="s">
        <v>6</v>
      </c>
      <c r="J6" s="8" t="s">
        <v>7</v>
      </c>
      <c r="K6" s="8" t="s">
        <v>8</v>
      </c>
      <c r="L6" s="8" t="s">
        <v>34</v>
      </c>
      <c r="M6" s="8" t="s">
        <v>9</v>
      </c>
      <c r="N6" s="8" t="s">
        <v>10</v>
      </c>
    </row>
    <row r="7" spans="1:15" ht="15.75" thickBot="1" x14ac:dyDescent="0.3">
      <c r="A7" s="9"/>
      <c r="B7" s="9"/>
      <c r="C7" s="10" t="s">
        <v>11</v>
      </c>
      <c r="D7" s="11">
        <v>386344.70850000001</v>
      </c>
      <c r="E7" s="12">
        <v>20628</v>
      </c>
      <c r="F7" s="12">
        <v>4000.6413400000001</v>
      </c>
      <c r="G7" s="11">
        <f>SUM([3]First:Last!I20)</f>
        <v>473834.3498075286</v>
      </c>
      <c r="H7" s="13">
        <f t="shared" ref="H7:H12" si="0">G7/E7</f>
        <v>22.970445501625392</v>
      </c>
      <c r="I7" s="14">
        <f>$H$12*E7-G7</f>
        <v>10369.907662024722</v>
      </c>
      <c r="J7" s="15">
        <f>E18</f>
        <v>0.43524392627000502</v>
      </c>
      <c r="K7" s="16">
        <f>J7*$D$14</f>
        <v>22841.166006723593</v>
      </c>
      <c r="L7" s="16">
        <f>G7-K7</f>
        <v>450993.18380080501</v>
      </c>
      <c r="M7" s="16">
        <f>(IF($E$18=INTERCEPT($G$7:$G$11,$E$7:$E$11)/$D$14,LINEST($L$7:$L$11,$E$7:$E$11),(SUM($L$7:$L$11)/(SUM($E$7:$E$11)))))*E7</f>
        <v>392714.58630252443</v>
      </c>
      <c r="N7" s="17">
        <f>K7+M7-G7</f>
        <v>-58278.597498280578</v>
      </c>
    </row>
    <row r="8" spans="1:15" ht="16.5" thickTop="1" thickBot="1" x14ac:dyDescent="0.3">
      <c r="A8" s="9"/>
      <c r="B8" s="9"/>
      <c r="C8" s="10" t="s">
        <v>12</v>
      </c>
      <c r="D8" s="11">
        <v>459759.5085</v>
      </c>
      <c r="E8" s="12">
        <v>20429</v>
      </c>
      <c r="F8" s="12">
        <v>4000.6413400000001</v>
      </c>
      <c r="G8" s="11">
        <f>SUM([3]First:Last!I21)</f>
        <v>569333.45747952873</v>
      </c>
      <c r="H8" s="13">
        <f t="shared" si="0"/>
        <v>27.86888528462131</v>
      </c>
      <c r="I8" s="14">
        <f>$H$12*E8-G8</f>
        <v>-89800.358010578551</v>
      </c>
      <c r="J8" s="18">
        <f>I7</f>
        <v>10369.907662024722</v>
      </c>
      <c r="K8" s="16">
        <f>J8*$D$14</f>
        <v>544202384.19539535</v>
      </c>
      <c r="L8" s="16">
        <f>F8-J8</f>
        <v>-6369.2663220247214</v>
      </c>
      <c r="M8" s="16">
        <f>(IF($E$18=INTERCEPT($G$7:$G$11,$E$7:$E$11)/$D$14,LINEST($L$7:$L$11,$E$7:$E$11),(SUM($L$7:$L$11)/(SUM($E$7:$E$11)))))*D8</f>
        <v>8752873.0453378651</v>
      </c>
      <c r="N8" s="17">
        <f>K8+M8-G8</f>
        <v>552385923.78325379</v>
      </c>
    </row>
    <row r="9" spans="1:15" ht="16.5" thickTop="1" thickBot="1" x14ac:dyDescent="0.3">
      <c r="A9" s="9"/>
      <c r="B9" s="9"/>
      <c r="C9" s="10" t="s">
        <v>13</v>
      </c>
      <c r="D9" s="11">
        <v>421942.5085</v>
      </c>
      <c r="E9" s="12">
        <v>24964</v>
      </c>
      <c r="F9" s="12">
        <v>3940.4255399999997</v>
      </c>
      <c r="G9" s="11">
        <f>SUM([3]First:Last!I22)</f>
        <v>515738.39394952869</v>
      </c>
      <c r="H9" s="13">
        <f t="shared" si="0"/>
        <v>20.659285128566282</v>
      </c>
      <c r="I9" s="14">
        <f>$H$12*E9-G9</f>
        <v>70245.466990452376</v>
      </c>
      <c r="J9" s="18">
        <f>I8</f>
        <v>-89800.358010578551</v>
      </c>
      <c r="K9" s="16">
        <f>J9*$D$14</f>
        <v>-4712632988.0371513</v>
      </c>
      <c r="L9" s="16">
        <f>F9-J9</f>
        <v>93740.783550578548</v>
      </c>
      <c r="M9" s="16">
        <f>(IF($E$18=INTERCEPT($G$7:$G$11,$E$7:$E$11)/$D$14,LINEST($L$7:$L$11,$E$7:$E$11),(SUM($L$7:$L$11)/(SUM($E$7:$E$11)))))*D9</f>
        <v>8032915.3417212963</v>
      </c>
      <c r="N9" s="17">
        <f>K9+M9-G9</f>
        <v>-4705115811.0893793</v>
      </c>
    </row>
    <row r="10" spans="1:15" ht="16.5" thickTop="1" thickBot="1" x14ac:dyDescent="0.3">
      <c r="A10" s="9"/>
      <c r="B10" s="9"/>
      <c r="C10" s="10" t="s">
        <v>14</v>
      </c>
      <c r="D10" s="11">
        <v>324507.5085</v>
      </c>
      <c r="E10" s="12">
        <v>12954</v>
      </c>
      <c r="F10" s="12">
        <v>4078.3077400000002</v>
      </c>
      <c r="G10" s="11">
        <f>SUM([3]First:Last!I23)</f>
        <v>267422.03708952863</v>
      </c>
      <c r="H10" s="13">
        <f t="shared" si="0"/>
        <v>20.643973837388344</v>
      </c>
      <c r="I10" s="14">
        <f>$H$12*E10-G10</f>
        <v>36649.222909530625</v>
      </c>
      <c r="J10" s="18">
        <f>I9</f>
        <v>70245.466990452376</v>
      </c>
      <c r="K10" s="16">
        <f>J10*$D$14</f>
        <v>3686411862.1919503</v>
      </c>
      <c r="L10" s="16">
        <f>F10-J10</f>
        <v>-66167.159250452372</v>
      </c>
      <c r="M10" s="16">
        <f>(IF($E$18=INTERCEPT($G$7:$G$11,$E$7:$E$11)/$D$14,LINEST($L$7:$L$11,$E$7:$E$11),(SUM($L$7:$L$11)/(SUM($E$7:$E$11)))))*D10</f>
        <v>6177953.8468412077</v>
      </c>
      <c r="N10" s="17">
        <f>K10+M10-G10</f>
        <v>3692322394.0017023</v>
      </c>
    </row>
    <row r="11" spans="1:15" ht="16.5" thickTop="1" thickBot="1" x14ac:dyDescent="0.3">
      <c r="A11" s="9"/>
      <c r="B11" s="9"/>
      <c r="C11" s="10" t="s">
        <v>15</v>
      </c>
      <c r="D11" s="11">
        <v>456914.5085</v>
      </c>
      <c r="E11" s="12">
        <v>18938</v>
      </c>
      <c r="F11" s="12">
        <v>3994.6006199999997</v>
      </c>
      <c r="G11" s="11">
        <f>SUM([3]First:Last!I24)</f>
        <v>471998.86374952865</v>
      </c>
      <c r="H11" s="13">
        <f t="shared" si="0"/>
        <v>24.923374366328474</v>
      </c>
      <c r="I11" s="14">
        <f>$H$12*E11-G11</f>
        <v>-27464.239551428938</v>
      </c>
      <c r="J11" s="18">
        <f>I10</f>
        <v>36649.222909530625</v>
      </c>
      <c r="K11" s="16">
        <f>J11*$D$14</f>
        <v>1923314569.0692577</v>
      </c>
      <c r="L11" s="16">
        <f>F11-J11</f>
        <v>-32654.622289530624</v>
      </c>
      <c r="M11" s="16">
        <f>(IF($E$18=INTERCEPT($G$7:$G$11,$E$7:$E$11)/$D$14,LINEST($L$7:$L$11,$E$7:$E$11),(SUM($L$7:$L$11)/(SUM($E$7:$E$11)))))*D11</f>
        <v>8698710.1115570478</v>
      </c>
      <c r="N11" s="17">
        <f>K11+M11-G11</f>
        <v>1931541280.3170652</v>
      </c>
    </row>
    <row r="12" spans="1:15" ht="15.75" thickTop="1" x14ac:dyDescent="0.25">
      <c r="C12" s="20" t="s">
        <v>16</v>
      </c>
      <c r="D12" s="21">
        <f>AVERAGE(D7:D11)</f>
        <v>409893.74849999999</v>
      </c>
      <c r="E12" s="21">
        <f>AVERAGE(E7:E11)</f>
        <v>19582.599999999999</v>
      </c>
      <c r="F12" s="21">
        <f>AVERAGE(E7:E11)</f>
        <v>19582.599999999999</v>
      </c>
      <c r="G12" s="21">
        <f>AVERAGE(G7:G11)</f>
        <v>459665.4204151287</v>
      </c>
      <c r="H12" s="22">
        <f t="shared" si="0"/>
        <v>23.473155781925215</v>
      </c>
      <c r="I12" s="23"/>
      <c r="J12" s="24"/>
      <c r="K12" s="25"/>
      <c r="L12" s="25"/>
      <c r="M12" s="25"/>
      <c r="N12" s="26"/>
    </row>
    <row r="13" spans="1:15" ht="15.75" thickBot="1" x14ac:dyDescent="0.3">
      <c r="C13" s="27"/>
      <c r="D13" s="28"/>
      <c r="E13" s="28"/>
      <c r="F13" s="28"/>
      <c r="G13" s="29"/>
      <c r="H13" s="30"/>
      <c r="I13" s="19"/>
      <c r="J13" s="19"/>
      <c r="K13" s="19"/>
      <c r="L13" s="19"/>
    </row>
    <row r="14" spans="1:15" ht="15.75" thickBot="1" x14ac:dyDescent="0.3">
      <c r="C14" s="31" t="s">
        <v>17</v>
      </c>
      <c r="D14" s="32">
        <v>52479</v>
      </c>
      <c r="E14" s="33" t="s">
        <v>18</v>
      </c>
      <c r="F14" s="32">
        <f>E12</f>
        <v>19582.599999999999</v>
      </c>
      <c r="G14" s="28"/>
      <c r="H14" s="29"/>
      <c r="I14" s="30"/>
      <c r="J14" s="19"/>
      <c r="K14" s="19"/>
      <c r="L14" s="19"/>
      <c r="M14" s="19"/>
    </row>
    <row r="16" spans="1:15" x14ac:dyDescent="0.25">
      <c r="C16" s="34"/>
      <c r="D16" s="34" t="s">
        <v>19</v>
      </c>
      <c r="E16" s="34" t="s">
        <v>20</v>
      </c>
      <c r="F16" s="34" t="s">
        <v>21</v>
      </c>
      <c r="I16" s="35"/>
      <c r="J16" s="77" t="s">
        <v>22</v>
      </c>
      <c r="K16" s="77"/>
      <c r="L16" s="77"/>
      <c r="M16" s="77"/>
    </row>
    <row r="17" spans="3:13" ht="45" x14ac:dyDescent="0.25">
      <c r="C17" s="34"/>
      <c r="D17" s="34" t="s">
        <v>23</v>
      </c>
      <c r="E17" s="34" t="s">
        <v>24</v>
      </c>
      <c r="F17" s="34" t="s">
        <v>25</v>
      </c>
      <c r="I17" s="35"/>
      <c r="J17" s="8" t="s">
        <v>7</v>
      </c>
      <c r="K17" s="8" t="s">
        <v>8</v>
      </c>
      <c r="L17" s="8" t="s">
        <v>9</v>
      </c>
      <c r="M17" s="8" t="s">
        <v>10</v>
      </c>
    </row>
    <row r="18" spans="3:13" ht="30.75" thickBot="1" x14ac:dyDescent="0.3">
      <c r="C18" s="36" t="s">
        <v>26</v>
      </c>
      <c r="D18" s="37">
        <v>0</v>
      </c>
      <c r="E18" s="37">
        <f>IF(AND(INTERCEPT(G7:G11,E7:E11)&lt;AVERAGE(G7:G11),INTERCEPT(G7:G11,E7:E11)/D14&gt;0),(INTERCEPT(G7:G11,E7:E11))/D14,AVERAGE(F7:F11)/D14)</f>
        <v>0.43524392627000502</v>
      </c>
      <c r="F18" s="37">
        <v>2.1652235351438827</v>
      </c>
      <c r="G18" s="38"/>
      <c r="I18" s="39" t="s">
        <v>11</v>
      </c>
      <c r="J18" s="15">
        <f>F18</f>
        <v>2.1652235351438827</v>
      </c>
      <c r="K18" s="16">
        <f>J18*$D$14</f>
        <v>113628.76590081582</v>
      </c>
      <c r="L18" s="16">
        <f>(IF($E$18=INTERCEPT($G$7:$G$11,$E$7:$E$11)/$D$14,LINEST($L$7:$L$11,$E$7:$E$11),(SUM($L$7:$L$11)/(SUM($E$7:$E$11)))))*E7</f>
        <v>392714.58630252443</v>
      </c>
      <c r="M18" s="17">
        <f>K18+L18-G7</f>
        <v>32509.002395811665</v>
      </c>
    </row>
    <row r="19" spans="3:13" ht="30.75" thickBot="1" x14ac:dyDescent="0.3">
      <c r="C19" s="36" t="s">
        <v>27</v>
      </c>
      <c r="D19" s="37">
        <f>H12</f>
        <v>23.473155781925215</v>
      </c>
      <c r="E19" s="37">
        <f>IF(E18=INTERCEPT(G7:G11,E7:E11)/D14,LINEST(L7:L11,E7:E11),(SUM(L7:L11)/(SUM(E7:E11))))</f>
        <v>19.037938060040936</v>
      </c>
      <c r="F19" s="37">
        <f>E19</f>
        <v>19.037938060040936</v>
      </c>
      <c r="G19" s="40"/>
      <c r="H19" s="40"/>
      <c r="I19" s="39" t="s">
        <v>12</v>
      </c>
      <c r="J19" s="15">
        <f>J18</f>
        <v>2.1652235351438827</v>
      </c>
      <c r="K19" s="16">
        <f>J19*$D$14</f>
        <v>113628.76590081582</v>
      </c>
      <c r="L19" s="16">
        <f>(IF($E$18=INTERCEPT($G$7:$G$11,$E$7:$E$11)/$D$14,LINEST($L$7:$L$11,$E$7:$E$11),(SUM($L$7:$L$11)/(SUM($E$7:$E$11)))))*E8</f>
        <v>388926.03662857629</v>
      </c>
      <c r="M19" s="17">
        <f>K19+L19-G8</f>
        <v>-66778.65495013661</v>
      </c>
    </row>
    <row r="20" spans="3:13" ht="45.75" thickBot="1" x14ac:dyDescent="0.3">
      <c r="C20" s="41" t="s">
        <v>36</v>
      </c>
      <c r="D20" s="42">
        <f>MIN(I7:I11)</f>
        <v>-89800.358010578551</v>
      </c>
      <c r="E20" s="42">
        <f>MIN(N7:N11)</f>
        <v>-4705115811.0893793</v>
      </c>
      <c r="F20" s="42">
        <f>MIN(M18:M22)</f>
        <v>-66778.65495013661</v>
      </c>
      <c r="G20" s="40"/>
      <c r="H20" s="40"/>
      <c r="I20" s="39" t="s">
        <v>13</v>
      </c>
      <c r="J20" s="15">
        <f>J19</f>
        <v>2.1652235351438827</v>
      </c>
      <c r="K20" s="16">
        <f>J20*$D$14</f>
        <v>113628.76590081582</v>
      </c>
      <c r="L20" s="16">
        <f>(IF($E$18=INTERCEPT($G$7:$G$11,$E$7:$E$11)/$D$14,LINEST($L$7:$L$11,$E$7:$E$11),(SUM($L$7:$L$11)/(SUM($E$7:$E$11)))))*E9</f>
        <v>475263.08573086193</v>
      </c>
      <c r="M20" s="17">
        <f>K20+L20-G9</f>
        <v>73153.457682149019</v>
      </c>
    </row>
    <row r="21" spans="3:13" ht="45.75" thickBot="1" x14ac:dyDescent="0.3">
      <c r="C21" s="36" t="s">
        <v>38</v>
      </c>
      <c r="D21" s="42">
        <f>MAX(I7:I11)</f>
        <v>70245.466990452376</v>
      </c>
      <c r="E21" s="43">
        <f>MAX(N7:N11)</f>
        <v>3692322394.0017023</v>
      </c>
      <c r="F21" s="43">
        <f>MAX(M18:M22)</f>
        <v>92824.178441057506</v>
      </c>
      <c r="I21" s="39" t="s">
        <v>14</v>
      </c>
      <c r="J21" s="15">
        <f>J20</f>
        <v>2.1652235351438827</v>
      </c>
      <c r="K21" s="16">
        <f>J21*$D$14</f>
        <v>113628.76590081582</v>
      </c>
      <c r="L21" s="16">
        <f>(IF($E$18=INTERCEPT($G$7:$G$11,$E$7:$E$11)/$D$14,LINEST($L$7:$L$11,$E$7:$E$11),(SUM($L$7:$L$11)/(SUM($E$7:$E$11)))))*E10</f>
        <v>246617.4496297703</v>
      </c>
      <c r="M21" s="17">
        <f>K21+L21-G10</f>
        <v>92824.178441057506</v>
      </c>
    </row>
    <row r="22" spans="3:13" ht="45.75" thickBot="1" x14ac:dyDescent="0.3">
      <c r="C22" s="36" t="s">
        <v>37</v>
      </c>
      <c r="D22" s="43">
        <f>AVERAGE(I7:I11)</f>
        <v>4.6566128730773928E-11</v>
      </c>
      <c r="E22" s="43">
        <f>AVERAGE(N7:N11)</f>
        <v>294215101.68302882</v>
      </c>
      <c r="F22" s="43">
        <f>AVERAGE(M18:M22)</f>
        <v>26775.6713402448</v>
      </c>
      <c r="I22" s="44" t="s">
        <v>15</v>
      </c>
      <c r="J22" s="45">
        <f>J21</f>
        <v>2.1652235351438827</v>
      </c>
      <c r="K22" s="46">
        <f>J22*$D$14</f>
        <v>113628.76590081582</v>
      </c>
      <c r="L22" s="46">
        <f>(IF($E$18=INTERCEPT($G$7:$G$11,$E$7:$E$11)/$D$14,LINEST($L$7:$L$11,$E$7:$E$11),(SUM($L$7:$L$11)/(SUM($E$7:$E$11)))))*E11</f>
        <v>360540.47098105523</v>
      </c>
      <c r="M22" s="47">
        <f>K22+L22-G11</f>
        <v>2170.3731323424145</v>
      </c>
    </row>
    <row r="25" spans="3:13" x14ac:dyDescent="0.25">
      <c r="C25" t="s">
        <v>28</v>
      </c>
    </row>
  </sheetData>
  <mergeCells count="3">
    <mergeCell ref="J5:N5"/>
    <mergeCell ref="J16:M16"/>
    <mergeCell ref="C4:O4"/>
  </mergeCells>
  <conditionalFormatting sqref="D20:F22">
    <cfRule type="cellIs" dxfId="5" priority="2" operator="lessThan">
      <formula>0</formula>
    </cfRule>
  </conditionalFormatting>
  <conditionalFormatting sqref="I7:I11 N7:N11 M18:M22">
    <cfRule type="cellIs" dxfId="4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O25"/>
  <sheetViews>
    <sheetView workbookViewId="0">
      <selection activeCell="E18" sqref="E18"/>
    </sheetView>
  </sheetViews>
  <sheetFormatPr defaultRowHeight="15" x14ac:dyDescent="0.25"/>
  <cols>
    <col min="1" max="1" width="10.7109375" bestFit="1" customWidth="1"/>
    <col min="2" max="2" width="9.7109375" bestFit="1" customWidth="1"/>
    <col min="3" max="3" width="16.140625" customWidth="1"/>
    <col min="4" max="4" width="14.5703125" customWidth="1"/>
    <col min="5" max="5" width="17.42578125" customWidth="1"/>
    <col min="6" max="6" width="14.85546875" customWidth="1"/>
    <col min="7" max="7" width="13.7109375" customWidth="1"/>
    <col min="8" max="8" width="15.28515625" customWidth="1"/>
    <col min="9" max="9" width="25.42578125" customWidth="1"/>
    <col min="10" max="10" width="12.140625" customWidth="1"/>
    <col min="11" max="11" width="14.7109375" customWidth="1"/>
    <col min="12" max="12" width="16.85546875" customWidth="1"/>
    <col min="13" max="13" width="21.140625" bestFit="1" customWidth="1"/>
  </cols>
  <sheetData>
    <row r="2" spans="1:15" x14ac:dyDescent="0.25">
      <c r="B2" s="1"/>
    </row>
    <row r="4" spans="1:15" ht="32.25" customHeight="1" x14ac:dyDescent="0.25">
      <c r="C4" s="79" t="s">
        <v>40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5" spans="1:15" ht="40.5" customHeight="1" x14ac:dyDescent="0.25">
      <c r="C5" s="2" t="s">
        <v>47</v>
      </c>
      <c r="D5" s="2"/>
      <c r="E5" s="2"/>
      <c r="F5" s="2"/>
      <c r="G5" s="2"/>
      <c r="H5" s="3"/>
      <c r="I5" s="4" t="s">
        <v>0</v>
      </c>
      <c r="J5" s="76" t="s">
        <v>1</v>
      </c>
      <c r="K5" s="77"/>
      <c r="L5" s="77"/>
      <c r="M5" s="77"/>
      <c r="N5" s="77"/>
    </row>
    <row r="6" spans="1:15" ht="59.25" customHeight="1" x14ac:dyDescent="0.25">
      <c r="C6" s="5" t="s">
        <v>2</v>
      </c>
      <c r="D6" s="5" t="s">
        <v>35</v>
      </c>
      <c r="E6" s="5" t="s">
        <v>31</v>
      </c>
      <c r="F6" s="5" t="s">
        <v>33</v>
      </c>
      <c r="G6" s="5" t="s">
        <v>4</v>
      </c>
      <c r="H6" s="6" t="s">
        <v>5</v>
      </c>
      <c r="I6" s="7" t="s">
        <v>6</v>
      </c>
      <c r="J6" s="8" t="s">
        <v>7</v>
      </c>
      <c r="K6" s="8" t="s">
        <v>8</v>
      </c>
      <c r="L6" s="8" t="s">
        <v>34</v>
      </c>
      <c r="M6" s="8" t="s">
        <v>9</v>
      </c>
      <c r="N6" s="8" t="s">
        <v>10</v>
      </c>
    </row>
    <row r="7" spans="1:15" ht="15.75" thickBot="1" x14ac:dyDescent="0.3">
      <c r="A7" s="9"/>
      <c r="B7" s="9"/>
      <c r="C7" s="10" t="s">
        <v>11</v>
      </c>
      <c r="D7" s="11">
        <v>30821</v>
      </c>
      <c r="E7" s="12">
        <v>6546</v>
      </c>
      <c r="F7" s="12">
        <v>1003.239</v>
      </c>
      <c r="G7" s="11">
        <v>9286.3827499999989</v>
      </c>
      <c r="H7" s="13">
        <f t="shared" ref="H7:H12" si="0">G7/E7</f>
        <v>1.4186347005805071</v>
      </c>
      <c r="I7" s="14">
        <f>$H$12*E7-G7</f>
        <v>679.88826685628919</v>
      </c>
      <c r="J7" s="15">
        <f>E18</f>
        <v>0.63011948162604781</v>
      </c>
      <c r="K7" s="16">
        <f>J7*$D$14</f>
        <v>9284.1804422781879</v>
      </c>
      <c r="L7" s="16">
        <f>G7-K7</f>
        <v>2.2023077218109393</v>
      </c>
      <c r="M7" s="16">
        <f>(IF($E$18=INTERCEPT($G$7:$G$11,$E$7:$E$11)/$D$14,LINEST($L$7:$L$11,$E$7:$E$11),(SUM($L$7:$L$11)/(SUM($E$7:$E$11)))))*E7</f>
        <v>2.9533383827285724</v>
      </c>
      <c r="N7" s="17">
        <f>K7+M7-G7</f>
        <v>0.75103066091833171</v>
      </c>
    </row>
    <row r="8" spans="1:15" ht="16.5" thickTop="1" thickBot="1" x14ac:dyDescent="0.3">
      <c r="A8" s="9"/>
      <c r="B8" s="9"/>
      <c r="C8" s="10" t="s">
        <v>12</v>
      </c>
      <c r="D8" s="11">
        <v>30821</v>
      </c>
      <c r="E8" s="12">
        <v>5491</v>
      </c>
      <c r="F8" s="12">
        <v>1003.239</v>
      </c>
      <c r="G8" s="11">
        <v>9286.3827499999989</v>
      </c>
      <c r="H8" s="13">
        <f t="shared" si="0"/>
        <v>1.6912006465124747</v>
      </c>
      <c r="I8" s="14">
        <f>$H$12*E8-G8</f>
        <v>-926.34697952064016</v>
      </c>
      <c r="J8" s="18">
        <f>J7</f>
        <v>0.63011948162604781</v>
      </c>
      <c r="K8" s="16">
        <f>J8*$D$14</f>
        <v>9284.1804422781879</v>
      </c>
      <c r="L8" s="16">
        <f>G8-K8</f>
        <v>2.2023077218109393</v>
      </c>
      <c r="M8" s="16">
        <f>(IF($E$18=INTERCEPT($G$7:$G$11,$E$7:$E$11)/$D$14,LINEST($L$7:$L$11,$E$7:$E$11),(SUM($L$7:$L$11)/(SUM($E$7:$E$11)))))*E8</f>
        <v>2.4773573265448507</v>
      </c>
      <c r="N8" s="17">
        <f>K8+M8-G8</f>
        <v>0.27504960473379469</v>
      </c>
    </row>
    <row r="9" spans="1:15" ht="16.5" thickTop="1" thickBot="1" x14ac:dyDescent="0.3">
      <c r="A9" s="9"/>
      <c r="B9" s="9"/>
      <c r="C9" s="10" t="s">
        <v>13</v>
      </c>
      <c r="D9" s="11">
        <v>30821</v>
      </c>
      <c r="E9" s="12">
        <v>6635</v>
      </c>
      <c r="F9" s="12">
        <v>1005.9876</v>
      </c>
      <c r="G9" s="11">
        <v>9289.1313499999997</v>
      </c>
      <c r="H9" s="13">
        <f t="shared" si="0"/>
        <v>1.4000197965335341</v>
      </c>
      <c r="I9" s="14">
        <f>$H$12*E9-G9</f>
        <v>812.64197674021852</v>
      </c>
      <c r="J9" s="18">
        <f>J8</f>
        <v>0.63011948162604781</v>
      </c>
      <c r="K9" s="16">
        <f>J9*$D$14</f>
        <v>9284.1804422781879</v>
      </c>
      <c r="L9" s="16">
        <f>G9-K9</f>
        <v>4.9509077218117454</v>
      </c>
      <c r="M9" s="16">
        <f>(IF($E$18=INTERCEPT($G$7:$G$11,$E$7:$E$11)/$D$14,LINEST($L$7:$L$11,$E$7:$E$11),(SUM($L$7:$L$11)/(SUM($E$7:$E$11)))))*E9</f>
        <v>2.9934922348616069</v>
      </c>
      <c r="N9" s="17">
        <f>K9+M9-G9</f>
        <v>-1.9574154869496851</v>
      </c>
    </row>
    <row r="10" spans="1:15" ht="16.5" thickTop="1" thickBot="1" x14ac:dyDescent="0.3">
      <c r="A10" s="9"/>
      <c r="B10" s="9"/>
      <c r="C10" s="10" t="s">
        <v>14</v>
      </c>
      <c r="D10" s="11">
        <v>30821</v>
      </c>
      <c r="E10" s="12">
        <v>6994</v>
      </c>
      <c r="F10" s="12">
        <v>1003.239</v>
      </c>
      <c r="G10" s="11">
        <v>9286.3827499999989</v>
      </c>
      <c r="H10" s="13">
        <f t="shared" si="0"/>
        <v>1.3277641907349156</v>
      </c>
      <c r="I10" s="14">
        <f>$H$12*E10-G10</f>
        <v>1361.9673098675357</v>
      </c>
      <c r="J10" s="18">
        <f>J9</f>
        <v>0.63011948162604781</v>
      </c>
      <c r="K10" s="16">
        <f>J10*$D$14</f>
        <v>9284.1804422781879</v>
      </c>
      <c r="L10" s="16">
        <f>G10-K10</f>
        <v>2.2023077218109393</v>
      </c>
      <c r="M10" s="16">
        <f>(IF($E$18=INTERCEPT($G$7:$G$11,$E$7:$E$11)/$D$14,LINEST($L$7:$L$11,$E$7:$E$11),(SUM($L$7:$L$11)/(SUM($E$7:$E$11)))))*E10</f>
        <v>3.1554611440274423</v>
      </c>
      <c r="N10" s="17">
        <f>K10+M10-G10</f>
        <v>0.95315342221692845</v>
      </c>
    </row>
    <row r="11" spans="1:15" ht="16.5" thickTop="1" thickBot="1" x14ac:dyDescent="0.3">
      <c r="A11" s="9"/>
      <c r="B11" s="9"/>
      <c r="C11" s="10" t="s">
        <v>15</v>
      </c>
      <c r="D11" s="11">
        <v>30821</v>
      </c>
      <c r="E11" s="12">
        <v>4833</v>
      </c>
      <c r="F11" s="12">
        <v>1003.239</v>
      </c>
      <c r="G11" s="11">
        <v>9286.3827499999989</v>
      </c>
      <c r="H11" s="13">
        <f t="shared" si="0"/>
        <v>1.9214530829712391</v>
      </c>
      <c r="I11" s="14">
        <f>$H$12*E11-G11</f>
        <v>-1928.1505739434087</v>
      </c>
      <c r="J11" s="18">
        <f>J10</f>
        <v>0.63011948162604781</v>
      </c>
      <c r="K11" s="16">
        <f>J11*$D$14</f>
        <v>9284.1804422781879</v>
      </c>
      <c r="L11" s="16">
        <f>G11-K11</f>
        <v>2.2023077218109393</v>
      </c>
      <c r="M11" s="16">
        <f>(IF($E$18=INTERCEPT($G$7:$G$11,$E$7:$E$11)/$D$14,LINEST($L$7:$L$11,$E$7:$E$11),(SUM($L$7:$L$11)/(SUM($E$7:$E$11)))))*E11</f>
        <v>2.1804895208871358</v>
      </c>
      <c r="N11" s="17">
        <f>K11+M11-G11</f>
        <v>-2.181820092300768E-2</v>
      </c>
    </row>
    <row r="12" spans="1:15" ht="15.75" thickTop="1" x14ac:dyDescent="0.25">
      <c r="C12" s="20" t="s">
        <v>16</v>
      </c>
      <c r="D12" s="21">
        <f>AVERAGE(D7:D11)</f>
        <v>30821</v>
      </c>
      <c r="E12" s="21">
        <f>AVERAGE(E7:E11)</f>
        <v>6099.8</v>
      </c>
      <c r="F12" s="21">
        <f>AVERAGE(F7:F11)</f>
        <v>1003.7887200000001</v>
      </c>
      <c r="G12" s="21">
        <f>AVERAGE(G7:G11)</f>
        <v>9286.9324699999979</v>
      </c>
      <c r="H12" s="22">
        <f t="shared" si="0"/>
        <v>1.5224978638643887</v>
      </c>
      <c r="I12" s="23"/>
      <c r="J12" s="24"/>
      <c r="K12" s="25"/>
      <c r="L12" s="25"/>
      <c r="M12" s="25"/>
      <c r="N12" s="26"/>
    </row>
    <row r="13" spans="1:15" ht="15.75" thickBot="1" x14ac:dyDescent="0.3">
      <c r="C13" s="27"/>
      <c r="D13" s="28"/>
      <c r="E13" s="28"/>
      <c r="F13" s="28"/>
      <c r="G13" s="29"/>
      <c r="H13" s="30"/>
      <c r="I13" s="19"/>
      <c r="J13" s="19"/>
      <c r="K13" s="19"/>
      <c r="L13" s="19"/>
    </row>
    <row r="14" spans="1:15" ht="15.75" thickBot="1" x14ac:dyDescent="0.3">
      <c r="C14" s="31" t="s">
        <v>17</v>
      </c>
      <c r="D14" s="32">
        <v>14734</v>
      </c>
      <c r="E14" s="33" t="s">
        <v>18</v>
      </c>
      <c r="F14" s="32">
        <f>E12</f>
        <v>6099.8</v>
      </c>
      <c r="G14" s="28"/>
      <c r="H14" s="29"/>
      <c r="I14" s="30"/>
      <c r="J14" s="19"/>
      <c r="K14" s="19"/>
      <c r="L14" s="19"/>
      <c r="M14" s="19"/>
    </row>
    <row r="16" spans="1:15" x14ac:dyDescent="0.25">
      <c r="C16" s="34"/>
      <c r="D16" s="34" t="s">
        <v>19</v>
      </c>
      <c r="E16" s="34" t="s">
        <v>20</v>
      </c>
      <c r="F16" s="34" t="s">
        <v>21</v>
      </c>
      <c r="I16" s="35"/>
      <c r="J16" s="77" t="s">
        <v>22</v>
      </c>
      <c r="K16" s="77"/>
      <c r="L16" s="77"/>
      <c r="M16" s="77"/>
    </row>
    <row r="17" spans="3:13" ht="45" x14ac:dyDescent="0.25">
      <c r="C17" s="34"/>
      <c r="D17" s="34" t="s">
        <v>23</v>
      </c>
      <c r="E17" s="34" t="s">
        <v>24</v>
      </c>
      <c r="F17" s="34" t="s">
        <v>25</v>
      </c>
      <c r="I17" s="35"/>
      <c r="J17" s="8" t="s">
        <v>7</v>
      </c>
      <c r="K17" s="8" t="s">
        <v>8</v>
      </c>
      <c r="L17" s="8" t="s">
        <v>9</v>
      </c>
      <c r="M17" s="8" t="s">
        <v>10</v>
      </c>
    </row>
    <row r="18" spans="3:13" ht="30.75" thickBot="1" x14ac:dyDescent="0.3">
      <c r="C18" s="36" t="s">
        <v>26</v>
      </c>
      <c r="D18" s="37">
        <v>0</v>
      </c>
      <c r="E18" s="37">
        <f>IF(AND(INTERCEPT(G7:G11,E7:E11)&lt;AVERAGE(G7:G11),INTERCEPT(G7:G11,E7:E11)/D14&gt;0),(INTERCEPT(G7:G11,E7:E11))/D14,AVERAGE(F7:F11)/D14)</f>
        <v>0.63011948162604781</v>
      </c>
      <c r="F18" s="37">
        <v>0.63025233186949492</v>
      </c>
      <c r="G18" s="38"/>
      <c r="I18" s="39" t="s">
        <v>11</v>
      </c>
      <c r="J18" s="15">
        <f>F18</f>
        <v>0.63025233186949492</v>
      </c>
      <c r="K18" s="16">
        <f>J18*$D$14</f>
        <v>9286.1378577651376</v>
      </c>
      <c r="L18" s="16">
        <f>(IF($E$18=INTERCEPT($G$7:$G$11,$E$7:$E$11)/$D$14,LINEST($L$7:$L$11,$E$7:$E$11),(SUM($L$7:$L$11)/(SUM($E$7:$E$11)))))*E7</f>
        <v>2.9533383827285724</v>
      </c>
      <c r="M18" s="17">
        <f>K18+L18-G7</f>
        <v>2.7084461478680169</v>
      </c>
    </row>
    <row r="19" spans="3:13" ht="30.75" thickBot="1" x14ac:dyDescent="0.3">
      <c r="C19" s="36" t="s">
        <v>27</v>
      </c>
      <c r="D19" s="37">
        <f>ROUND(H12,2)</f>
        <v>1.52</v>
      </c>
      <c r="E19" s="37">
        <f>IF(E18=INTERCEPT(G7:G11,E7:E11)/D14,LINEST(L7:L11,E7:E11),(SUM(L7:L11)/(SUM(E7:E11))))</f>
        <v>4.5116687789926253E-4</v>
      </c>
      <c r="F19" s="37">
        <f>E19</f>
        <v>4.5116687789926253E-4</v>
      </c>
      <c r="G19" s="40"/>
      <c r="H19" s="40"/>
      <c r="I19" s="39" t="s">
        <v>12</v>
      </c>
      <c r="J19" s="15">
        <f>J18</f>
        <v>0.63025233186949492</v>
      </c>
      <c r="K19" s="16">
        <f>J19*$D$14</f>
        <v>9286.1378577651376</v>
      </c>
      <c r="L19" s="16">
        <f>(IF($E$18=INTERCEPT($G$7:$G$11,$E$7:$E$11)/$D$14,LINEST($L$7:$L$11,$E$7:$E$11),(SUM($L$7:$L$11)/(SUM($E$7:$E$11)))))*E8</f>
        <v>2.4773573265448507</v>
      </c>
      <c r="M19" s="17">
        <f>K19+L19-G8</f>
        <v>2.2324650916834798</v>
      </c>
    </row>
    <row r="20" spans="3:13" ht="45.75" thickBot="1" x14ac:dyDescent="0.3">
      <c r="C20" s="41" t="s">
        <v>36</v>
      </c>
      <c r="D20" s="42">
        <f>MIN(I7:I11)</f>
        <v>-1928.1505739434087</v>
      </c>
      <c r="E20" s="42">
        <f>MIN(N7:N11)</f>
        <v>-1.9574154869496851</v>
      </c>
      <c r="F20" s="42">
        <f>MIN(M18:M22)</f>
        <v>0</v>
      </c>
      <c r="G20" s="40"/>
      <c r="H20" s="40"/>
      <c r="I20" s="39" t="s">
        <v>13</v>
      </c>
      <c r="J20" s="15">
        <f>J19</f>
        <v>0.63025233186949492</v>
      </c>
      <c r="K20" s="16">
        <f>J20*$D$14</f>
        <v>9286.1378577651376</v>
      </c>
      <c r="L20" s="16">
        <f>(IF($E$18=INTERCEPT($G$7:$G$11,$E$7:$E$11)/$D$14,LINEST($L$7:$L$11,$E$7:$E$11),(SUM($L$7:$L$11)/(SUM($E$7:$E$11)))))*E9</f>
        <v>2.9934922348616069</v>
      </c>
      <c r="M20" s="17">
        <f>K20+L20-G9</f>
        <v>0</v>
      </c>
    </row>
    <row r="21" spans="3:13" ht="45.75" thickBot="1" x14ac:dyDescent="0.3">
      <c r="C21" s="36" t="s">
        <v>38</v>
      </c>
      <c r="D21" s="42">
        <f>MAX(I7:I11)</f>
        <v>1361.9673098675357</v>
      </c>
      <c r="E21" s="43">
        <f>MAX(N7:N11)</f>
        <v>0.95315342221692845</v>
      </c>
      <c r="F21" s="43">
        <f>MAX(M18:M22)</f>
        <v>2.9105689091666136</v>
      </c>
      <c r="I21" s="39" t="s">
        <v>14</v>
      </c>
      <c r="J21" s="15">
        <f>J20</f>
        <v>0.63025233186949492</v>
      </c>
      <c r="K21" s="16">
        <f>J21*$D$14</f>
        <v>9286.1378577651376</v>
      </c>
      <c r="L21" s="16">
        <f>(IF($E$18=INTERCEPT($G$7:$G$11,$E$7:$E$11)/$D$14,LINEST($L$7:$L$11,$E$7:$E$11),(SUM($L$7:$L$11)/(SUM($E$7:$E$11)))))*E10</f>
        <v>3.1554611440274423</v>
      </c>
      <c r="M21" s="17">
        <f>K21+L21-G10</f>
        <v>2.9105689091666136</v>
      </c>
    </row>
    <row r="22" spans="3:13" ht="45.75" thickBot="1" x14ac:dyDescent="0.3">
      <c r="C22" s="36" t="s">
        <v>37</v>
      </c>
      <c r="D22" s="43">
        <f>AVERAGE(I7:I11)</f>
        <v>-1.0913936421275138E-12</v>
      </c>
      <c r="E22" s="43">
        <f>AVERAGE(N7:N11)</f>
        <v>-7.2759576141834263E-13</v>
      </c>
      <c r="F22" s="43">
        <f>AVERAGE(M18:M22)</f>
        <v>1.9574154869489575</v>
      </c>
      <c r="I22" s="44" t="s">
        <v>15</v>
      </c>
      <c r="J22" s="45">
        <f>J21</f>
        <v>0.63025233186949492</v>
      </c>
      <c r="K22" s="46">
        <f>J22*$D$14</f>
        <v>9286.1378577651376</v>
      </c>
      <c r="L22" s="46">
        <f>(IF($E$18=INTERCEPT($G$7:$G$11,$E$7:$E$11)/$D$14,LINEST($L$7:$L$11,$E$7:$E$11),(SUM($L$7:$L$11)/(SUM($E$7:$E$11)))))*E11</f>
        <v>2.1804895208871358</v>
      </c>
      <c r="M22" s="47">
        <f>K22+L22-G11</f>
        <v>1.9355972860266775</v>
      </c>
    </row>
    <row r="25" spans="3:13" x14ac:dyDescent="0.25">
      <c r="C25" t="s">
        <v>28</v>
      </c>
    </row>
  </sheetData>
  <mergeCells count="3">
    <mergeCell ref="J5:N5"/>
    <mergeCell ref="J16:M16"/>
    <mergeCell ref="C4:O4"/>
  </mergeCells>
  <conditionalFormatting sqref="D20:F22">
    <cfRule type="cellIs" dxfId="3" priority="2" operator="lessThan">
      <formula>0</formula>
    </cfRule>
  </conditionalFormatting>
  <conditionalFormatting sqref="I7:I11 N7:N11 M18:M22">
    <cfRule type="cellIs" dxfId="2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Burdekin DS</vt:lpstr>
      <vt:lpstr>Dawson</vt:lpstr>
      <vt:lpstr>Bundaberg DS</vt:lpstr>
      <vt:lpstr>Barker Barambah</vt:lpstr>
      <vt:lpstr>Lower Mary</vt:lpstr>
      <vt:lpstr>Mareeba DS</vt:lpstr>
      <vt:lpstr>Bowen Broken</vt:lpstr>
      <vt:lpstr>Eton DS</vt:lpstr>
      <vt:lpstr>Three Moon Creek</vt:lpstr>
      <vt:lpstr>Upper Condamine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Courtney Chester</dc:creator>
  <cp:lastModifiedBy>QCA</cp:lastModifiedBy>
  <cp:lastPrinted>2019-08-12T01:25:12Z</cp:lastPrinted>
  <dcterms:created xsi:type="dcterms:W3CDTF">2019-08-12T01:07:05Z</dcterms:created>
  <dcterms:modified xsi:type="dcterms:W3CDTF">2019-09-09T00:15:55Z</dcterms:modified>
</cp:coreProperties>
</file>