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srv44\profiles$\ma\Desktop\SUFA DD docs for web\"/>
    </mc:Choice>
  </mc:AlternateContent>
  <bookViews>
    <workbookView xWindow="28830" yWindow="435" windowWidth="24930" windowHeight="11250" tabRatio="442"/>
  </bookViews>
  <sheets>
    <sheet name="Assumptions" sheetId="2" r:id="rId1"/>
    <sheet name="Baseline" sheetId="16" r:id="rId2"/>
    <sheet name="Adjustments" sheetId="17" r:id="rId3"/>
    <sheet name="Volume adjust" sheetId="14" r:id="rId4"/>
    <sheet name="Rev cap adjust" sheetId="13" r:id="rId5"/>
    <sheet name="Combined adjustment" sheetId="18" r:id="rId6"/>
  </sheets>
  <calcPr calcId="162913"/>
</workbook>
</file>

<file path=xl/calcChain.xml><?xml version="1.0" encoding="utf-8"?>
<calcChain xmlns="http://schemas.openxmlformats.org/spreadsheetml/2006/main">
  <c r="F60" i="16" l="1"/>
  <c r="G60" i="16"/>
  <c r="H60" i="16"/>
  <c r="I60" i="16"/>
  <c r="J60" i="16"/>
  <c r="K60" i="16"/>
  <c r="L60" i="16"/>
  <c r="M60" i="16"/>
  <c r="N60" i="16"/>
  <c r="O60" i="16"/>
  <c r="P60" i="16"/>
  <c r="Q60" i="16"/>
  <c r="E60" i="16"/>
  <c r="Q50" i="18"/>
  <c r="Q48" i="18" s="1"/>
  <c r="Q47" i="18" s="1"/>
  <c r="P50" i="18"/>
  <c r="P49" i="18" s="1"/>
  <c r="O50" i="18"/>
  <c r="O48" i="18" s="1"/>
  <c r="O47" i="18" s="1"/>
  <c r="N50" i="18"/>
  <c r="N49" i="18" s="1"/>
  <c r="M50" i="18"/>
  <c r="M48" i="18" s="1"/>
  <c r="M47" i="18" s="1"/>
  <c r="L50" i="18"/>
  <c r="L49" i="18" s="1"/>
  <c r="K50" i="18"/>
  <c r="K48" i="18" s="1"/>
  <c r="K47" i="18" s="1"/>
  <c r="J50" i="18"/>
  <c r="J49" i="18" s="1"/>
  <c r="I50" i="18"/>
  <c r="I48" i="18" s="1"/>
  <c r="I47" i="18" s="1"/>
  <c r="H50" i="18"/>
  <c r="H49" i="18" s="1"/>
  <c r="G50" i="18"/>
  <c r="G48" i="18" s="1"/>
  <c r="G47" i="18" s="1"/>
  <c r="F50" i="18"/>
  <c r="F49" i="18" s="1"/>
  <c r="E50" i="18"/>
  <c r="E48" i="18" s="1"/>
  <c r="E47" i="18" s="1"/>
  <c r="Q45" i="18"/>
  <c r="Q43" i="18" s="1"/>
  <c r="Q42" i="18" s="1"/>
  <c r="P45" i="18"/>
  <c r="P44" i="18" s="1"/>
  <c r="O45" i="18"/>
  <c r="O43" i="18" s="1"/>
  <c r="O42" i="18" s="1"/>
  <c r="N45" i="18"/>
  <c r="N44" i="18" s="1"/>
  <c r="M45" i="18"/>
  <c r="M44" i="18" s="1"/>
  <c r="L45" i="18"/>
  <c r="L43" i="18" s="1"/>
  <c r="L42" i="18" s="1"/>
  <c r="K45" i="18"/>
  <c r="K43" i="18" s="1"/>
  <c r="K42" i="18" s="1"/>
  <c r="J45" i="18"/>
  <c r="J44" i="18" s="1"/>
  <c r="I45" i="18"/>
  <c r="I44" i="18" s="1"/>
  <c r="H45" i="18"/>
  <c r="H44" i="18" s="1"/>
  <c r="G45" i="18"/>
  <c r="G43" i="18" s="1"/>
  <c r="G42" i="18" s="1"/>
  <c r="E45" i="18"/>
  <c r="F45" i="18" s="1"/>
  <c r="Q117" i="18"/>
  <c r="P117" i="18"/>
  <c r="O117" i="18"/>
  <c r="N117" i="18"/>
  <c r="M117" i="18"/>
  <c r="L117" i="18"/>
  <c r="K117" i="18"/>
  <c r="J117" i="18"/>
  <c r="I117" i="18"/>
  <c r="H117" i="18"/>
  <c r="G117" i="18"/>
  <c r="F117" i="18"/>
  <c r="E117" i="18"/>
  <c r="Q116" i="18"/>
  <c r="P116" i="18"/>
  <c r="O116" i="18"/>
  <c r="N116" i="18"/>
  <c r="M116" i="18"/>
  <c r="L116" i="18"/>
  <c r="K116" i="18"/>
  <c r="J116" i="18"/>
  <c r="I116" i="18"/>
  <c r="H116" i="18"/>
  <c r="G116" i="18"/>
  <c r="F116" i="18"/>
  <c r="E116" i="18"/>
  <c r="Q115" i="18"/>
  <c r="P115" i="18"/>
  <c r="O115" i="18"/>
  <c r="N115" i="18"/>
  <c r="M115" i="18"/>
  <c r="L115" i="18"/>
  <c r="K115" i="18"/>
  <c r="J115" i="18"/>
  <c r="I115" i="18"/>
  <c r="H115" i="18"/>
  <c r="G115" i="18"/>
  <c r="F115" i="18"/>
  <c r="E115" i="18"/>
  <c r="Q96" i="18"/>
  <c r="Q95" i="18" s="1"/>
  <c r="P96" i="18"/>
  <c r="O96" i="18"/>
  <c r="O94" i="18" s="1"/>
  <c r="O93" i="18" s="1"/>
  <c r="N96" i="18"/>
  <c r="N94" i="18" s="1"/>
  <c r="N93" i="18" s="1"/>
  <c r="L96" i="18"/>
  <c r="K96" i="18"/>
  <c r="K94" i="18" s="1"/>
  <c r="K93" i="18" s="1"/>
  <c r="J96" i="18"/>
  <c r="J95" i="18" s="1"/>
  <c r="I96" i="18"/>
  <c r="I95" i="18" s="1"/>
  <c r="H96" i="18"/>
  <c r="G96" i="18"/>
  <c r="G94" i="18" s="1"/>
  <c r="G93" i="18" s="1"/>
  <c r="F96" i="18"/>
  <c r="F94" i="18" s="1"/>
  <c r="F93" i="18" s="1"/>
  <c r="E96" i="18"/>
  <c r="E95" i="18" s="1"/>
  <c r="M95" i="18"/>
  <c r="K95" i="18"/>
  <c r="M94" i="18"/>
  <c r="M93" i="18" s="1"/>
  <c r="Q91" i="18"/>
  <c r="P91" i="18"/>
  <c r="O91" i="18"/>
  <c r="O90" i="18" s="1"/>
  <c r="N91" i="18"/>
  <c r="N90" i="18" s="1"/>
  <c r="L91" i="18"/>
  <c r="L89" i="18" s="1"/>
  <c r="L88" i="18" s="1"/>
  <c r="K91" i="18"/>
  <c r="K89" i="18" s="1"/>
  <c r="K88" i="18" s="1"/>
  <c r="J91" i="18"/>
  <c r="J89" i="18" s="1"/>
  <c r="J88" i="18" s="1"/>
  <c r="I91" i="18"/>
  <c r="I89" i="18" s="1"/>
  <c r="I88" i="18" s="1"/>
  <c r="H91" i="18"/>
  <c r="G91" i="18"/>
  <c r="E91" i="18"/>
  <c r="E90" i="18" s="1"/>
  <c r="M90" i="18"/>
  <c r="K90" i="18"/>
  <c r="F90" i="18"/>
  <c r="M89" i="18"/>
  <c r="M88" i="18" s="1"/>
  <c r="F89" i="18"/>
  <c r="F88" i="18" s="1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J48" i="18" l="1"/>
  <c r="J47" i="18" s="1"/>
  <c r="L90" i="18"/>
  <c r="Q94" i="18"/>
  <c r="Q93" i="18" s="1"/>
  <c r="F95" i="18"/>
  <c r="M49" i="18"/>
  <c r="I90" i="18"/>
  <c r="N43" i="18"/>
  <c r="N42" i="18" s="1"/>
  <c r="E49" i="18"/>
  <c r="J118" i="18"/>
  <c r="J123" i="18" s="1"/>
  <c r="I43" i="18"/>
  <c r="I42" i="18" s="1"/>
  <c r="I49" i="18"/>
  <c r="G95" i="18"/>
  <c r="Q44" i="18"/>
  <c r="K118" i="18"/>
  <c r="K122" i="18" s="1"/>
  <c r="M43" i="18"/>
  <c r="M42" i="18" s="1"/>
  <c r="E118" i="18"/>
  <c r="E121" i="18" s="1"/>
  <c r="E44" i="18"/>
  <c r="P48" i="18"/>
  <c r="P47" i="18" s="1"/>
  <c r="Q49" i="18"/>
  <c r="N95" i="18"/>
  <c r="O95" i="18"/>
  <c r="E43" i="18"/>
  <c r="E42" i="18" s="1"/>
  <c r="L44" i="18"/>
  <c r="H48" i="18"/>
  <c r="H47" i="18" s="1"/>
  <c r="F43" i="18"/>
  <c r="F42" i="18" s="1"/>
  <c r="F44" i="18"/>
  <c r="H43" i="18"/>
  <c r="H42" i="18" s="1"/>
  <c r="P43" i="18"/>
  <c r="P42" i="18" s="1"/>
  <c r="K44" i="18"/>
  <c r="L48" i="18"/>
  <c r="L47" i="18" s="1"/>
  <c r="G49" i="18"/>
  <c r="O49" i="18"/>
  <c r="J90" i="18"/>
  <c r="J43" i="18"/>
  <c r="F48" i="18"/>
  <c r="F47" i="18" s="1"/>
  <c r="N48" i="18"/>
  <c r="N47" i="18" s="1"/>
  <c r="E94" i="18"/>
  <c r="E93" i="18" s="1"/>
  <c r="O44" i="18"/>
  <c r="K49" i="18"/>
  <c r="N89" i="18"/>
  <c r="N88" i="18" s="1"/>
  <c r="O89" i="18"/>
  <c r="O88" i="18" s="1"/>
  <c r="I94" i="18"/>
  <c r="I93" i="18" s="1"/>
  <c r="G44" i="18"/>
  <c r="E89" i="18"/>
  <c r="E88" i="18" s="1"/>
  <c r="J94" i="18"/>
  <c r="J93" i="18" s="1"/>
  <c r="H118" i="18"/>
  <c r="H121" i="18" s="1"/>
  <c r="P118" i="18"/>
  <c r="P121" i="18" s="1"/>
  <c r="F118" i="18"/>
  <c r="F123" i="18" s="1"/>
  <c r="L95" i="18"/>
  <c r="L94" i="18"/>
  <c r="L93" i="18" s="1"/>
  <c r="N118" i="18"/>
  <c r="N123" i="18" s="1"/>
  <c r="H90" i="18"/>
  <c r="H89" i="18"/>
  <c r="H88" i="18" s="1"/>
  <c r="Q89" i="18"/>
  <c r="Q90" i="18"/>
  <c r="G90" i="18"/>
  <c r="G89" i="18"/>
  <c r="P90" i="18"/>
  <c r="P89" i="18"/>
  <c r="P88" i="18" s="1"/>
  <c r="J121" i="18"/>
  <c r="O118" i="18"/>
  <c r="O121" i="18" s="1"/>
  <c r="G118" i="18"/>
  <c r="G121" i="18" s="1"/>
  <c r="L118" i="18"/>
  <c r="L122" i="18" s="1"/>
  <c r="I118" i="18"/>
  <c r="I122" i="18" s="1"/>
  <c r="Q118" i="18"/>
  <c r="Q122" i="18" s="1"/>
  <c r="M118" i="18"/>
  <c r="M122" i="18" s="1"/>
  <c r="P94" i="18"/>
  <c r="P93" i="18" s="1"/>
  <c r="P95" i="18"/>
  <c r="H94" i="18"/>
  <c r="H93" i="18" s="1"/>
  <c r="H95" i="18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P123" i="18" l="1"/>
  <c r="J122" i="18"/>
  <c r="K121" i="18"/>
  <c r="K123" i="18"/>
  <c r="E122" i="18"/>
  <c r="Q121" i="18"/>
  <c r="P122" i="18"/>
  <c r="P124" i="18" s="1"/>
  <c r="I123" i="18"/>
  <c r="E123" i="18"/>
  <c r="I121" i="18"/>
  <c r="L123" i="18"/>
  <c r="F121" i="18"/>
  <c r="H123" i="18"/>
  <c r="Q123" i="18"/>
  <c r="H122" i="18"/>
  <c r="J124" i="18"/>
  <c r="J42" i="18"/>
  <c r="M123" i="18"/>
  <c r="M121" i="18"/>
  <c r="O122" i="18"/>
  <c r="O123" i="18"/>
  <c r="N122" i="18"/>
  <c r="G123" i="18"/>
  <c r="Q88" i="18"/>
  <c r="G122" i="18"/>
  <c r="G88" i="18"/>
  <c r="F122" i="18"/>
  <c r="L121" i="18"/>
  <c r="N121" i="18"/>
  <c r="G124" i="18" l="1"/>
  <c r="K124" i="18"/>
  <c r="Q124" i="18"/>
  <c r="M124" i="18"/>
  <c r="I124" i="18"/>
  <c r="E124" i="18"/>
  <c r="H124" i="18"/>
  <c r="L124" i="18"/>
  <c r="F124" i="18"/>
  <c r="O124" i="18"/>
  <c r="N124" i="18"/>
  <c r="E83" i="13"/>
  <c r="F83" i="13"/>
  <c r="G83" i="13"/>
  <c r="H83" i="13"/>
  <c r="I83" i="13"/>
  <c r="M61" i="13"/>
  <c r="M60" i="13"/>
  <c r="M59" i="13" s="1"/>
  <c r="E62" i="13"/>
  <c r="E61" i="13" s="1"/>
  <c r="F62" i="13"/>
  <c r="F60" i="13" s="1"/>
  <c r="F59" i="13" s="1"/>
  <c r="G62" i="13"/>
  <c r="G60" i="13" s="1"/>
  <c r="G59" i="13" s="1"/>
  <c r="H62" i="13"/>
  <c r="H60" i="13" s="1"/>
  <c r="H59" i="13" s="1"/>
  <c r="I62" i="13"/>
  <c r="I61" i="13" s="1"/>
  <c r="M56" i="13"/>
  <c r="F56" i="13"/>
  <c r="M55" i="13"/>
  <c r="M54" i="13" s="1"/>
  <c r="F55" i="13"/>
  <c r="F54" i="13" s="1"/>
  <c r="I60" i="13" l="1"/>
  <c r="I59" i="13" s="1"/>
  <c r="E60" i="13"/>
  <c r="E59" i="13" s="1"/>
  <c r="F61" i="13"/>
  <c r="G61" i="13"/>
  <c r="H61" i="13"/>
  <c r="E50" i="14" l="1"/>
  <c r="E49" i="14" s="1"/>
  <c r="F50" i="14"/>
  <c r="F49" i="14" s="1"/>
  <c r="G50" i="14"/>
  <c r="G49" i="14" s="1"/>
  <c r="H50" i="14"/>
  <c r="H48" i="14" s="1"/>
  <c r="H47" i="14" s="1"/>
  <c r="I50" i="14"/>
  <c r="I48" i="14" s="1"/>
  <c r="I47" i="14" s="1"/>
  <c r="E23" i="14"/>
  <c r="F23" i="14"/>
  <c r="G23" i="14"/>
  <c r="H23" i="14"/>
  <c r="I23" i="14"/>
  <c r="E36" i="2"/>
  <c r="F36" i="2"/>
  <c r="G36" i="2"/>
  <c r="H36" i="2"/>
  <c r="H21" i="18" s="1"/>
  <c r="I36" i="2"/>
  <c r="I21" i="18" s="1"/>
  <c r="E37" i="2"/>
  <c r="F37" i="2"/>
  <c r="G37" i="2"/>
  <c r="G22" i="14" s="1"/>
  <c r="H37" i="2"/>
  <c r="H22" i="14" s="1"/>
  <c r="I37" i="2"/>
  <c r="I22" i="14" s="1"/>
  <c r="E17" i="16"/>
  <c r="E181" i="18" s="1"/>
  <c r="F17" i="16"/>
  <c r="F181" i="18" s="1"/>
  <c r="G17" i="16"/>
  <c r="G181" i="18" s="1"/>
  <c r="H17" i="16"/>
  <c r="H181" i="18" s="1"/>
  <c r="I17" i="16"/>
  <c r="I181" i="18" s="1"/>
  <c r="E48" i="14" l="1"/>
  <c r="E47" i="14" s="1"/>
  <c r="I21" i="14"/>
  <c r="H22" i="13"/>
  <c r="H22" i="18"/>
  <c r="E21" i="14"/>
  <c r="E21" i="18"/>
  <c r="G22" i="13"/>
  <c r="G22" i="18"/>
  <c r="G21" i="14"/>
  <c r="G21" i="18"/>
  <c r="F22" i="13"/>
  <c r="F22" i="18"/>
  <c r="I22" i="13"/>
  <c r="I22" i="18"/>
  <c r="F21" i="14"/>
  <c r="F21" i="18"/>
  <c r="E22" i="13"/>
  <c r="E22" i="18"/>
  <c r="F22" i="14"/>
  <c r="H35" i="2"/>
  <c r="H20" i="18" s="1"/>
  <c r="H21" i="13"/>
  <c r="H49" i="14"/>
  <c r="F35" i="2"/>
  <c r="F20" i="18" s="1"/>
  <c r="F21" i="13"/>
  <c r="E35" i="2"/>
  <c r="E20" i="18" s="1"/>
  <c r="E21" i="13"/>
  <c r="E22" i="14"/>
  <c r="I49" i="14"/>
  <c r="I35" i="2"/>
  <c r="I20" i="18" s="1"/>
  <c r="I21" i="13"/>
  <c r="H21" i="14"/>
  <c r="G35" i="2"/>
  <c r="G20" i="18" s="1"/>
  <c r="G21" i="13"/>
  <c r="I29" i="16"/>
  <c r="I147" i="13"/>
  <c r="I108" i="14"/>
  <c r="H29" i="16"/>
  <c r="H108" i="14"/>
  <c r="H147" i="13"/>
  <c r="G29" i="16"/>
  <c r="G147" i="13"/>
  <c r="G108" i="14"/>
  <c r="F29" i="16"/>
  <c r="F147" i="13"/>
  <c r="F108" i="14"/>
  <c r="E29" i="16"/>
  <c r="E108" i="14"/>
  <c r="E147" i="13"/>
  <c r="F48" i="14"/>
  <c r="F47" i="14" s="1"/>
  <c r="G48" i="14"/>
  <c r="G47" i="14" s="1"/>
  <c r="O82" i="13"/>
  <c r="M82" i="13"/>
  <c r="M81" i="13"/>
  <c r="M83" i="13"/>
  <c r="E57" i="13"/>
  <c r="H57" i="13"/>
  <c r="O57" i="13"/>
  <c r="O62" i="13"/>
  <c r="G57" i="13"/>
  <c r="I57" i="13"/>
  <c r="J57" i="13"/>
  <c r="J62" i="13"/>
  <c r="K57" i="13"/>
  <c r="K62" i="13"/>
  <c r="L57" i="13"/>
  <c r="L62" i="13"/>
  <c r="N57" i="13"/>
  <c r="N62" i="13"/>
  <c r="P57" i="13"/>
  <c r="P62" i="13"/>
  <c r="Q57" i="13"/>
  <c r="Q62" i="13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J23" i="14"/>
  <c r="K23" i="14"/>
  <c r="L23" i="14"/>
  <c r="M23" i="14"/>
  <c r="N23" i="14"/>
  <c r="O23" i="14"/>
  <c r="P23" i="14"/>
  <c r="Q23" i="14"/>
  <c r="K17" i="16"/>
  <c r="L17" i="16"/>
  <c r="L181" i="18" s="1"/>
  <c r="M17" i="16"/>
  <c r="M181" i="18" s="1"/>
  <c r="N17" i="16"/>
  <c r="N181" i="18" s="1"/>
  <c r="O17" i="16"/>
  <c r="P17" i="16"/>
  <c r="Q17" i="16"/>
  <c r="Q181" i="18" s="1"/>
  <c r="J17" i="16"/>
  <c r="J108" i="14" s="1"/>
  <c r="G16" i="16"/>
  <c r="G158" i="18" s="1"/>
  <c r="H16" i="16"/>
  <c r="I16" i="16"/>
  <c r="J16" i="16"/>
  <c r="J158" i="18" s="1"/>
  <c r="K16" i="16"/>
  <c r="K158" i="18" s="1"/>
  <c r="L16" i="16"/>
  <c r="L158" i="18" s="1"/>
  <c r="M16" i="16"/>
  <c r="N16" i="16"/>
  <c r="N124" i="13" s="1"/>
  <c r="O16" i="16"/>
  <c r="P16" i="16"/>
  <c r="Q16" i="16"/>
  <c r="Q158" i="18" s="1"/>
  <c r="F16" i="16"/>
  <c r="F158" i="18" s="1"/>
  <c r="E16" i="16"/>
  <c r="H45" i="14"/>
  <c r="I45" i="14"/>
  <c r="J45" i="14"/>
  <c r="K45" i="14"/>
  <c r="L45" i="14"/>
  <c r="M45" i="14"/>
  <c r="N45" i="14"/>
  <c r="O45" i="14"/>
  <c r="P45" i="14"/>
  <c r="Q45" i="14"/>
  <c r="G45" i="14"/>
  <c r="K50" i="14"/>
  <c r="L50" i="14"/>
  <c r="M50" i="14"/>
  <c r="N50" i="14"/>
  <c r="O50" i="14"/>
  <c r="P50" i="14"/>
  <c r="Q50" i="14"/>
  <c r="J50" i="14"/>
  <c r="E45" i="14"/>
  <c r="K37" i="2"/>
  <c r="L37" i="2"/>
  <c r="M37" i="2"/>
  <c r="O36" i="2"/>
  <c r="O35" i="2" s="1"/>
  <c r="P36" i="2"/>
  <c r="Q37" i="2"/>
  <c r="J37" i="2"/>
  <c r="N37" i="2"/>
  <c r="O37" i="2"/>
  <c r="J36" i="2"/>
  <c r="J35" i="2" s="1"/>
  <c r="J20" i="14" s="1"/>
  <c r="M36" i="2"/>
  <c r="M35" i="2" s="1"/>
  <c r="N36" i="2"/>
  <c r="Q36" i="2"/>
  <c r="G31" i="2"/>
  <c r="H31" i="2"/>
  <c r="H17" i="14" s="1"/>
  <c r="I30" i="2"/>
  <c r="I29" i="2" s="1"/>
  <c r="J30" i="2"/>
  <c r="K31" i="2"/>
  <c r="O31" i="2"/>
  <c r="P31" i="2"/>
  <c r="Q30" i="2"/>
  <c r="E30" i="2"/>
  <c r="E29" i="2" s="1"/>
  <c r="F31" i="2"/>
  <c r="F17" i="14" s="1"/>
  <c r="J31" i="2"/>
  <c r="J17" i="14" s="1"/>
  <c r="L31" i="2"/>
  <c r="M31" i="2"/>
  <c r="N31" i="2"/>
  <c r="E31" i="2"/>
  <c r="F30" i="2"/>
  <c r="H30" i="2"/>
  <c r="L30" i="2"/>
  <c r="M30" i="2"/>
  <c r="N30" i="2"/>
  <c r="N29" i="2" s="1"/>
  <c r="P30" i="2"/>
  <c r="Q26" i="2"/>
  <c r="P26" i="2"/>
  <c r="P13" i="14" s="1"/>
  <c r="O26" i="2"/>
  <c r="O40" i="14" s="1"/>
  <c r="N26" i="2"/>
  <c r="N25" i="2" s="1"/>
  <c r="N12" i="14" s="1"/>
  <c r="M26" i="2"/>
  <c r="M24" i="2" s="1"/>
  <c r="L26" i="2"/>
  <c r="L40" i="14" s="1"/>
  <c r="K26" i="2"/>
  <c r="J26" i="2"/>
  <c r="I26" i="2"/>
  <c r="I36" i="16" s="1"/>
  <c r="H26" i="2"/>
  <c r="G26" i="2"/>
  <c r="G25" i="2" s="1"/>
  <c r="F26" i="2"/>
  <c r="F13" i="14" s="1"/>
  <c r="E26" i="2"/>
  <c r="E40" i="16"/>
  <c r="E39" i="16"/>
  <c r="H29" i="2"/>
  <c r="M29" i="2"/>
  <c r="I16" i="14"/>
  <c r="L36" i="16"/>
  <c r="K36" i="2"/>
  <c r="K35" i="2" s="1"/>
  <c r="K20" i="14" s="1"/>
  <c r="P37" i="2"/>
  <c r="P22" i="14" s="1"/>
  <c r="L36" i="2"/>
  <c r="K30" i="2"/>
  <c r="K16" i="14" s="1"/>
  <c r="Q31" i="2"/>
  <c r="I31" i="2"/>
  <c r="I17" i="14" s="1"/>
  <c r="O30" i="2"/>
  <c r="O16" i="14" s="1"/>
  <c r="G30" i="2"/>
  <c r="G16" i="14" s="1"/>
  <c r="L25" i="2"/>
  <c r="E82" i="13"/>
  <c r="J83" i="13"/>
  <c r="E6" i="16"/>
  <c r="E15" i="16"/>
  <c r="E81" i="13"/>
  <c r="E12" i="16"/>
  <c r="F82" i="13"/>
  <c r="F81" i="13"/>
  <c r="F12" i="16"/>
  <c r="F15" i="16"/>
  <c r="F27" i="16" s="1"/>
  <c r="F6" i="16"/>
  <c r="K83" i="13"/>
  <c r="G82" i="13"/>
  <c r="G12" i="16"/>
  <c r="G81" i="13"/>
  <c r="G15" i="16"/>
  <c r="G27" i="16" s="1"/>
  <c r="L83" i="13"/>
  <c r="H82" i="13"/>
  <c r="G6" i="16"/>
  <c r="H15" i="16"/>
  <c r="H27" i="16" s="1"/>
  <c r="H81" i="13"/>
  <c r="H12" i="16"/>
  <c r="I82" i="13"/>
  <c r="H6" i="16"/>
  <c r="N83" i="13"/>
  <c r="J82" i="13"/>
  <c r="I15" i="16"/>
  <c r="I27" i="16" s="1"/>
  <c r="I81" i="13"/>
  <c r="I12" i="16"/>
  <c r="I6" i="16"/>
  <c r="O83" i="13"/>
  <c r="K82" i="13"/>
  <c r="J12" i="16"/>
  <c r="J81" i="13"/>
  <c r="J15" i="16"/>
  <c r="L82" i="13"/>
  <c r="J6" i="16"/>
  <c r="P83" i="13"/>
  <c r="K81" i="13"/>
  <c r="K15" i="16"/>
  <c r="K12" i="16"/>
  <c r="K6" i="16"/>
  <c r="Q83" i="13"/>
  <c r="L81" i="13"/>
  <c r="L15" i="16"/>
  <c r="L12" i="16"/>
  <c r="L6" i="16"/>
  <c r="N82" i="13"/>
  <c r="M15" i="16"/>
  <c r="M12" i="16"/>
  <c r="M6" i="16"/>
  <c r="N81" i="13"/>
  <c r="N15" i="16"/>
  <c r="N12" i="16"/>
  <c r="P82" i="13"/>
  <c r="N6" i="16"/>
  <c r="O81" i="13"/>
  <c r="O15" i="16"/>
  <c r="O12" i="16"/>
  <c r="Q82" i="13"/>
  <c r="O6" i="16"/>
  <c r="P15" i="16"/>
  <c r="P81" i="13"/>
  <c r="P12" i="16"/>
  <c r="P6" i="16"/>
  <c r="Q15" i="16"/>
  <c r="Q81" i="13"/>
  <c r="Q12" i="16"/>
  <c r="Q6" i="16"/>
  <c r="N40" i="14" l="1"/>
  <c r="N24" i="2"/>
  <c r="N23" i="2" s="1"/>
  <c r="P28" i="14"/>
  <c r="F24" i="2"/>
  <c r="F11" i="18" s="1"/>
  <c r="N108" i="14"/>
  <c r="E13" i="14"/>
  <c r="E25" i="2"/>
  <c r="G36" i="16"/>
  <c r="N86" i="14"/>
  <c r="I25" i="2"/>
  <c r="I35" i="16" s="1"/>
  <c r="G24" i="2"/>
  <c r="G11" i="13" s="1"/>
  <c r="O36" i="16"/>
  <c r="N36" i="16"/>
  <c r="J29" i="16"/>
  <c r="O24" i="2"/>
  <c r="O11" i="13" s="1"/>
  <c r="M21" i="14"/>
  <c r="M34" i="16"/>
  <c r="I15" i="18"/>
  <c r="I15" i="13"/>
  <c r="I15" i="14"/>
  <c r="J13" i="18"/>
  <c r="J28" i="18" s="1"/>
  <c r="J40" i="18"/>
  <c r="J86" i="18"/>
  <c r="J13" i="13"/>
  <c r="J28" i="13" s="1"/>
  <c r="F11" i="13"/>
  <c r="M15" i="18"/>
  <c r="M15" i="13"/>
  <c r="E31" i="14"/>
  <c r="E31" i="18"/>
  <c r="E58" i="18" s="1"/>
  <c r="E68" i="18" s="1"/>
  <c r="I52" i="13"/>
  <c r="I13" i="18"/>
  <c r="I28" i="18" s="1"/>
  <c r="I40" i="18"/>
  <c r="I86" i="18"/>
  <c r="I13" i="13"/>
  <c r="I28" i="13" s="1"/>
  <c r="I40" i="14"/>
  <c r="F29" i="2"/>
  <c r="F15" i="14" s="1"/>
  <c r="F16" i="18"/>
  <c r="F16" i="13"/>
  <c r="Q16" i="18"/>
  <c r="Q16" i="13"/>
  <c r="Q21" i="18"/>
  <c r="Q21" i="13"/>
  <c r="J22" i="18"/>
  <c r="J22" i="13"/>
  <c r="K22" i="18"/>
  <c r="K22" i="13"/>
  <c r="P124" i="13"/>
  <c r="P158" i="18"/>
  <c r="H86" i="14"/>
  <c r="H158" i="18"/>
  <c r="M23" i="2"/>
  <c r="M10" i="14" s="1"/>
  <c r="E32" i="13"/>
  <c r="E42" i="13" s="1"/>
  <c r="E32" i="18"/>
  <c r="E59" i="18" s="1"/>
  <c r="E69" i="18" s="1"/>
  <c r="E12" i="18"/>
  <c r="E12" i="13"/>
  <c r="H13" i="18"/>
  <c r="H28" i="18" s="1"/>
  <c r="H40" i="18"/>
  <c r="H86" i="18"/>
  <c r="H13" i="13"/>
  <c r="H28" i="13" s="1"/>
  <c r="O13" i="18"/>
  <c r="O28" i="18" s="1"/>
  <c r="O40" i="18"/>
  <c r="O86" i="18"/>
  <c r="O13" i="13"/>
  <c r="O28" i="13" s="1"/>
  <c r="H16" i="18"/>
  <c r="H16" i="13"/>
  <c r="E16" i="14"/>
  <c r="E16" i="18"/>
  <c r="E16" i="13"/>
  <c r="G17" i="18"/>
  <c r="G17" i="13"/>
  <c r="N22" i="18"/>
  <c r="N22" i="13"/>
  <c r="L22" i="18"/>
  <c r="L22" i="13"/>
  <c r="I124" i="13"/>
  <c r="I158" i="18"/>
  <c r="F11" i="14"/>
  <c r="F16" i="14"/>
  <c r="Q22" i="18"/>
  <c r="Q22" i="13"/>
  <c r="O16" i="18"/>
  <c r="O16" i="13"/>
  <c r="G16" i="18"/>
  <c r="G16" i="13"/>
  <c r="K29" i="2"/>
  <c r="K16" i="18"/>
  <c r="K16" i="13"/>
  <c r="K21" i="18"/>
  <c r="K21" i="13"/>
  <c r="G52" i="13"/>
  <c r="G50" i="13" s="1"/>
  <c r="G49" i="13" s="1"/>
  <c r="G40" i="18"/>
  <c r="G86" i="18"/>
  <c r="G13" i="18"/>
  <c r="G28" i="18" s="1"/>
  <c r="G13" i="13"/>
  <c r="G28" i="13" s="1"/>
  <c r="N13" i="14"/>
  <c r="N13" i="18"/>
  <c r="N28" i="18" s="1"/>
  <c r="N40" i="18"/>
  <c r="N86" i="18"/>
  <c r="N13" i="13"/>
  <c r="N28" i="13" s="1"/>
  <c r="L29" i="2"/>
  <c r="L15" i="14" s="1"/>
  <c r="L16" i="18"/>
  <c r="L16" i="13"/>
  <c r="F17" i="18"/>
  <c r="F17" i="13"/>
  <c r="H17" i="18"/>
  <c r="H17" i="13"/>
  <c r="Q16" i="14"/>
  <c r="N22" i="14"/>
  <c r="L22" i="14"/>
  <c r="P13" i="18"/>
  <c r="P28" i="18" s="1"/>
  <c r="P40" i="18"/>
  <c r="P86" i="18"/>
  <c r="P13" i="13"/>
  <c r="P28" i="13" s="1"/>
  <c r="K20" i="18"/>
  <c r="K20" i="13"/>
  <c r="P22" i="18"/>
  <c r="P22" i="13"/>
  <c r="O20" i="18"/>
  <c r="O20" i="13"/>
  <c r="E15" i="18"/>
  <c r="E15" i="13"/>
  <c r="F52" i="13"/>
  <c r="F50" i="13" s="1"/>
  <c r="F49" i="13" s="1"/>
  <c r="F13" i="18"/>
  <c r="F28" i="18" s="1"/>
  <c r="F65" i="18" s="1"/>
  <c r="F40" i="18"/>
  <c r="F86" i="18"/>
  <c r="F13" i="13"/>
  <c r="F28" i="13" s="1"/>
  <c r="F38" i="13" s="1"/>
  <c r="M25" i="2"/>
  <c r="M40" i="18"/>
  <c r="M86" i="18"/>
  <c r="M13" i="18"/>
  <c r="M28" i="18" s="1"/>
  <c r="M13" i="13"/>
  <c r="M28" i="13" s="1"/>
  <c r="M16" i="18"/>
  <c r="M16" i="13"/>
  <c r="J17" i="18"/>
  <c r="J17" i="13"/>
  <c r="I16" i="18"/>
  <c r="I16" i="13"/>
  <c r="O22" i="14"/>
  <c r="O22" i="18"/>
  <c r="O22" i="13"/>
  <c r="M22" i="18"/>
  <c r="M22" i="13"/>
  <c r="E124" i="13"/>
  <c r="E158" i="18"/>
  <c r="O29" i="16"/>
  <c r="O181" i="18"/>
  <c r="N52" i="13"/>
  <c r="N50" i="13" s="1"/>
  <c r="N49" i="13" s="1"/>
  <c r="G12" i="18"/>
  <c r="G27" i="18" s="1"/>
  <c r="G12" i="13"/>
  <c r="N12" i="18"/>
  <c r="N12" i="13"/>
  <c r="E17" i="18"/>
  <c r="E17" i="13"/>
  <c r="O86" i="14"/>
  <c r="O158" i="18"/>
  <c r="I12" i="18"/>
  <c r="I12" i="13"/>
  <c r="J20" i="18"/>
  <c r="J20" i="13"/>
  <c r="N15" i="18"/>
  <c r="N15" i="13"/>
  <c r="H15" i="18"/>
  <c r="H15" i="13"/>
  <c r="L24" i="2"/>
  <c r="L34" i="16" s="1"/>
  <c r="L40" i="18"/>
  <c r="L13" i="18"/>
  <c r="L28" i="18" s="1"/>
  <c r="L86" i="18"/>
  <c r="L13" i="13"/>
  <c r="L28" i="13" s="1"/>
  <c r="N16" i="14"/>
  <c r="N16" i="18"/>
  <c r="N16" i="13"/>
  <c r="L17" i="18"/>
  <c r="L17" i="13"/>
  <c r="J16" i="18"/>
  <c r="J16" i="13"/>
  <c r="J21" i="18"/>
  <c r="J21" i="13"/>
  <c r="O21" i="18"/>
  <c r="O21" i="13"/>
  <c r="P108" i="14"/>
  <c r="P181" i="18"/>
  <c r="N21" i="18"/>
  <c r="N21" i="13"/>
  <c r="Q17" i="18"/>
  <c r="Q17" i="13"/>
  <c r="L21" i="18"/>
  <c r="L21" i="13"/>
  <c r="E40" i="18"/>
  <c r="E86" i="18"/>
  <c r="E13" i="18"/>
  <c r="E28" i="18" s="1"/>
  <c r="E65" i="18" s="1"/>
  <c r="E13" i="13"/>
  <c r="E28" i="13" s="1"/>
  <c r="E38" i="13" s="1"/>
  <c r="P16" i="18"/>
  <c r="P16" i="13"/>
  <c r="M17" i="18"/>
  <c r="M17" i="13"/>
  <c r="K17" i="18"/>
  <c r="K17" i="13"/>
  <c r="M21" i="18"/>
  <c r="M21" i="13"/>
  <c r="M28" i="16"/>
  <c r="M158" i="18"/>
  <c r="O29" i="2"/>
  <c r="I12" i="14"/>
  <c r="Q17" i="14"/>
  <c r="M36" i="16"/>
  <c r="I24" i="2"/>
  <c r="L17" i="14"/>
  <c r="H16" i="14"/>
  <c r="L13" i="14"/>
  <c r="L28" i="14" s="1"/>
  <c r="O21" i="14"/>
  <c r="M11" i="18"/>
  <c r="M11" i="13"/>
  <c r="M26" i="13" s="1"/>
  <c r="P17" i="18"/>
  <c r="P17" i="13"/>
  <c r="K108" i="14"/>
  <c r="K181" i="18"/>
  <c r="N10" i="14"/>
  <c r="N10" i="18"/>
  <c r="N10" i="13"/>
  <c r="L12" i="18"/>
  <c r="L27" i="18" s="1"/>
  <c r="L12" i="13"/>
  <c r="I17" i="18"/>
  <c r="I17" i="13"/>
  <c r="N11" i="14"/>
  <c r="N11" i="18"/>
  <c r="N11" i="13"/>
  <c r="M20" i="18"/>
  <c r="M20" i="13"/>
  <c r="K40" i="18"/>
  <c r="K86" i="18"/>
  <c r="K13" i="18"/>
  <c r="K28" i="18" s="1"/>
  <c r="K13" i="13"/>
  <c r="K28" i="13" s="1"/>
  <c r="Q13" i="18"/>
  <c r="Q28" i="18" s="1"/>
  <c r="Q40" i="18"/>
  <c r="Q86" i="18"/>
  <c r="Q13" i="13"/>
  <c r="Q28" i="13" s="1"/>
  <c r="N17" i="18"/>
  <c r="N17" i="13"/>
  <c r="O17" i="14"/>
  <c r="O17" i="18"/>
  <c r="O17" i="13"/>
  <c r="P21" i="18"/>
  <c r="P21" i="13"/>
  <c r="N28" i="16"/>
  <c r="N158" i="18"/>
  <c r="J147" i="13"/>
  <c r="J181" i="18"/>
  <c r="O28" i="16"/>
  <c r="J29" i="2"/>
  <c r="E20" i="13"/>
  <c r="E20" i="14"/>
  <c r="F20" i="13"/>
  <c r="F20" i="14"/>
  <c r="G20" i="13"/>
  <c r="G20" i="14"/>
  <c r="I20" i="13"/>
  <c r="I20" i="14"/>
  <c r="H20" i="13"/>
  <c r="H20" i="14"/>
  <c r="G86" i="14"/>
  <c r="G28" i="16"/>
  <c r="O124" i="13"/>
  <c r="E27" i="16"/>
  <c r="H28" i="16"/>
  <c r="H30" i="16" s="1"/>
  <c r="N49" i="14"/>
  <c r="N48" i="14"/>
  <c r="N47" i="14" s="1"/>
  <c r="K44" i="14"/>
  <c r="K43" i="14"/>
  <c r="K42" i="14" s="1"/>
  <c r="O39" i="14"/>
  <c r="O38" i="14"/>
  <c r="O37" i="14" s="1"/>
  <c r="M49" i="14"/>
  <c r="M48" i="14"/>
  <c r="M47" i="14" s="1"/>
  <c r="G43" i="14"/>
  <c r="G42" i="14" s="1"/>
  <c r="G44" i="14"/>
  <c r="J43" i="14"/>
  <c r="J42" i="14" s="1"/>
  <c r="J44" i="14"/>
  <c r="L49" i="14"/>
  <c r="L48" i="14"/>
  <c r="L47" i="14" s="1"/>
  <c r="Q43" i="14"/>
  <c r="Q42" i="14" s="1"/>
  <c r="Q44" i="14"/>
  <c r="I44" i="14"/>
  <c r="I43" i="14"/>
  <c r="I42" i="14" s="1"/>
  <c r="F45" i="14"/>
  <c r="E44" i="14"/>
  <c r="E43" i="14"/>
  <c r="E42" i="14" s="1"/>
  <c r="K48" i="14"/>
  <c r="K47" i="14" s="1"/>
  <c r="K49" i="14"/>
  <c r="P43" i="14"/>
  <c r="P42" i="14" s="1"/>
  <c r="P44" i="14"/>
  <c r="H44" i="14"/>
  <c r="H43" i="14"/>
  <c r="H42" i="14" s="1"/>
  <c r="E28" i="14"/>
  <c r="J48" i="14"/>
  <c r="J47" i="14" s="1"/>
  <c r="J49" i="14"/>
  <c r="O43" i="14"/>
  <c r="O42" i="14" s="1"/>
  <c r="O44" i="14"/>
  <c r="L38" i="14"/>
  <c r="L37" i="14" s="1"/>
  <c r="L39" i="14"/>
  <c r="Q48" i="14"/>
  <c r="Q47" i="14" s="1"/>
  <c r="Q49" i="14"/>
  <c r="N44" i="14"/>
  <c r="N43" i="14"/>
  <c r="N42" i="14" s="1"/>
  <c r="N38" i="14"/>
  <c r="N37" i="14" s="1"/>
  <c r="N39" i="14"/>
  <c r="P48" i="14"/>
  <c r="P47" i="14" s="1"/>
  <c r="P49" i="14"/>
  <c r="M44" i="14"/>
  <c r="M43" i="14"/>
  <c r="M42" i="14" s="1"/>
  <c r="O49" i="14"/>
  <c r="O48" i="14"/>
  <c r="O47" i="14" s="1"/>
  <c r="L44" i="14"/>
  <c r="L43" i="14"/>
  <c r="L42" i="14" s="1"/>
  <c r="N55" i="13"/>
  <c r="N54" i="13" s="1"/>
  <c r="N56" i="13"/>
  <c r="N67" i="13"/>
  <c r="G55" i="13"/>
  <c r="G54" i="13" s="1"/>
  <c r="G56" i="13"/>
  <c r="L60" i="13"/>
  <c r="L59" i="13" s="1"/>
  <c r="L61" i="13"/>
  <c r="O60" i="13"/>
  <c r="O59" i="13" s="1"/>
  <c r="O61" i="13"/>
  <c r="Q60" i="13"/>
  <c r="Q59" i="13" s="1"/>
  <c r="Q61" i="13"/>
  <c r="L55" i="13"/>
  <c r="L54" i="13" s="1"/>
  <c r="L56" i="13"/>
  <c r="O55" i="13"/>
  <c r="O54" i="13" s="1"/>
  <c r="O56" i="13"/>
  <c r="Q55" i="13"/>
  <c r="Q54" i="13" s="1"/>
  <c r="Q56" i="13"/>
  <c r="H56" i="13"/>
  <c r="H55" i="13"/>
  <c r="H54" i="13" s="1"/>
  <c r="P60" i="13"/>
  <c r="P59" i="13" s="1"/>
  <c r="P61" i="13"/>
  <c r="K56" i="13"/>
  <c r="K55" i="13"/>
  <c r="K54" i="13" s="1"/>
  <c r="E55" i="13"/>
  <c r="E54" i="13" s="1"/>
  <c r="E56" i="13"/>
  <c r="P55" i="13"/>
  <c r="P54" i="13" s="1"/>
  <c r="P56" i="13"/>
  <c r="J60" i="13"/>
  <c r="J59" i="13" s="1"/>
  <c r="J61" i="13"/>
  <c r="I67" i="13"/>
  <c r="I56" i="13"/>
  <c r="I55" i="13"/>
  <c r="I54" i="13" s="1"/>
  <c r="K60" i="13"/>
  <c r="K59" i="13" s="1"/>
  <c r="K61" i="13"/>
  <c r="O84" i="13"/>
  <c r="O87" i="13" s="1"/>
  <c r="I50" i="13"/>
  <c r="I49" i="13" s="1"/>
  <c r="I51" i="13"/>
  <c r="N60" i="13"/>
  <c r="N59" i="13" s="1"/>
  <c r="N61" i="13"/>
  <c r="J56" i="13"/>
  <c r="J55" i="13"/>
  <c r="J54" i="13" s="1"/>
  <c r="L147" i="13"/>
  <c r="L29" i="16"/>
  <c r="G18" i="16"/>
  <c r="G62" i="16" s="1"/>
  <c r="Q86" i="14"/>
  <c r="I84" i="13"/>
  <c r="I86" i="14"/>
  <c r="P18" i="16"/>
  <c r="P62" i="16" s="1"/>
  <c r="E59" i="14"/>
  <c r="K84" i="13"/>
  <c r="K87" i="13" s="1"/>
  <c r="I18" i="16"/>
  <c r="I23" i="16" s="1"/>
  <c r="I190" i="18" s="1"/>
  <c r="G30" i="16"/>
  <c r="Q29" i="16"/>
  <c r="L84" i="13"/>
  <c r="L88" i="13" s="1"/>
  <c r="L108" i="14"/>
  <c r="P28" i="16"/>
  <c r="L28" i="16"/>
  <c r="G124" i="13"/>
  <c r="Q124" i="13"/>
  <c r="M29" i="16"/>
  <c r="M124" i="13"/>
  <c r="K147" i="13"/>
  <c r="N27" i="16"/>
  <c r="Q18" i="16"/>
  <c r="Q62" i="16" s="1"/>
  <c r="P27" i="16"/>
  <c r="P86" i="14"/>
  <c r="H124" i="13"/>
  <c r="F40" i="16"/>
  <c r="E58" i="14"/>
  <c r="F39" i="16"/>
  <c r="E86" i="14"/>
  <c r="O55" i="14"/>
  <c r="K18" i="16"/>
  <c r="K62" i="16" s="1"/>
  <c r="E18" i="16"/>
  <c r="E21" i="16" s="1"/>
  <c r="I34" i="16"/>
  <c r="K28" i="16"/>
  <c r="G84" i="13"/>
  <c r="Q27" i="16"/>
  <c r="P84" i="13"/>
  <c r="P87" i="13" s="1"/>
  <c r="K124" i="13"/>
  <c r="F34" i="16"/>
  <c r="G29" i="2"/>
  <c r="L11" i="14"/>
  <c r="L35" i="2"/>
  <c r="M20" i="14"/>
  <c r="N17" i="14"/>
  <c r="O147" i="13"/>
  <c r="O108" i="14"/>
  <c r="E24" i="2"/>
  <c r="E36" i="16"/>
  <c r="I23" i="2"/>
  <c r="I33" i="16" s="1"/>
  <c r="E40" i="14"/>
  <c r="H84" i="13"/>
  <c r="J15" i="14"/>
  <c r="F84" i="13"/>
  <c r="O15" i="14"/>
  <c r="G23" i="2"/>
  <c r="G10" i="14" s="1"/>
  <c r="Q21" i="14"/>
  <c r="Q35" i="2"/>
  <c r="M86" i="14"/>
  <c r="Q147" i="13"/>
  <c r="Q108" i="14"/>
  <c r="J18" i="16"/>
  <c r="J21" i="16" s="1"/>
  <c r="J27" i="16"/>
  <c r="E35" i="16"/>
  <c r="I11" i="14"/>
  <c r="I26" i="14" s="1"/>
  <c r="Q84" i="13"/>
  <c r="Q87" i="13" s="1"/>
  <c r="K86" i="14"/>
  <c r="E15" i="14"/>
  <c r="L21" i="14"/>
  <c r="J52" i="13"/>
  <c r="J36" i="16"/>
  <c r="J25" i="2"/>
  <c r="P24" i="2"/>
  <c r="P34" i="16" s="1"/>
  <c r="P36" i="16"/>
  <c r="E17" i="14"/>
  <c r="P17" i="14"/>
  <c r="N35" i="2"/>
  <c r="L124" i="13"/>
  <c r="L86" i="14"/>
  <c r="P147" i="13"/>
  <c r="P29" i="16"/>
  <c r="F28" i="14"/>
  <c r="I28" i="16"/>
  <c r="I30" i="16" s="1"/>
  <c r="M108" i="14"/>
  <c r="E84" i="13"/>
  <c r="E89" i="13" s="1"/>
  <c r="K21" i="14"/>
  <c r="F40" i="14"/>
  <c r="F55" i="14" s="1"/>
  <c r="M40" i="14"/>
  <c r="F25" i="2"/>
  <c r="F35" i="16" s="1"/>
  <c r="L18" i="16"/>
  <c r="L23" i="16" s="1"/>
  <c r="L190" i="18" s="1"/>
  <c r="Q28" i="16"/>
  <c r="M147" i="13"/>
  <c r="I27" i="14"/>
  <c r="F36" i="16"/>
  <c r="N55" i="14"/>
  <c r="O18" i="16"/>
  <c r="O23" i="16" s="1"/>
  <c r="O190" i="18" s="1"/>
  <c r="L27" i="16"/>
  <c r="J16" i="14"/>
  <c r="E73" i="16"/>
  <c r="H15" i="14"/>
  <c r="M15" i="14"/>
  <c r="J84" i="13"/>
  <c r="J88" i="13" s="1"/>
  <c r="O27" i="16"/>
  <c r="M18" i="16"/>
  <c r="M21" i="16" s="1"/>
  <c r="M27" i="16"/>
  <c r="M35" i="16"/>
  <c r="M12" i="14"/>
  <c r="P16" i="14"/>
  <c r="P29" i="2"/>
  <c r="M17" i="14"/>
  <c r="K17" i="14"/>
  <c r="F86" i="14"/>
  <c r="F124" i="13"/>
  <c r="F28" i="16"/>
  <c r="F30" i="16" s="1"/>
  <c r="F18" i="16"/>
  <c r="J124" i="13"/>
  <c r="J28" i="16"/>
  <c r="J86" i="14"/>
  <c r="N29" i="16"/>
  <c r="N147" i="13"/>
  <c r="N28" i="14"/>
  <c r="O20" i="14"/>
  <c r="N84" i="13"/>
  <c r="N88" i="13" s="1"/>
  <c r="N18" i="16"/>
  <c r="N21" i="16" s="1"/>
  <c r="J22" i="14"/>
  <c r="K36" i="16"/>
  <c r="K25" i="2"/>
  <c r="Q13" i="14"/>
  <c r="Q28" i="14" s="1"/>
  <c r="Q36" i="16"/>
  <c r="M33" i="16"/>
  <c r="E52" i="13"/>
  <c r="G34" i="16"/>
  <c r="L12" i="14"/>
  <c r="L27" i="14" s="1"/>
  <c r="Q24" i="2"/>
  <c r="H36" i="16"/>
  <c r="K40" i="14"/>
  <c r="J24" i="2"/>
  <c r="M16" i="14"/>
  <c r="Q29" i="2"/>
  <c r="E32" i="14"/>
  <c r="H13" i="14"/>
  <c r="H28" i="14" s="1"/>
  <c r="K13" i="14"/>
  <c r="K28" i="14" s="1"/>
  <c r="N21" i="14"/>
  <c r="M22" i="14"/>
  <c r="E72" i="16"/>
  <c r="Q52" i="13"/>
  <c r="M52" i="13"/>
  <c r="P52" i="13"/>
  <c r="P25" i="2"/>
  <c r="P40" i="14"/>
  <c r="K27" i="16"/>
  <c r="G35" i="16"/>
  <c r="G11" i="14"/>
  <c r="G26" i="14" s="1"/>
  <c r="H40" i="14"/>
  <c r="E31" i="13"/>
  <c r="E41" i="13" s="1"/>
  <c r="G40" i="14"/>
  <c r="L55" i="14"/>
  <c r="H24" i="2"/>
  <c r="Q25" i="2"/>
  <c r="E28" i="16"/>
  <c r="K52" i="13"/>
  <c r="H52" i="13"/>
  <c r="M84" i="13"/>
  <c r="M88" i="13" s="1"/>
  <c r="L16" i="14"/>
  <c r="P21" i="14"/>
  <c r="P35" i="2"/>
  <c r="K15" i="14"/>
  <c r="L35" i="16"/>
  <c r="N15" i="14"/>
  <c r="G12" i="14"/>
  <c r="H25" i="2"/>
  <c r="M11" i="14"/>
  <c r="Q40" i="14"/>
  <c r="E12" i="14"/>
  <c r="G17" i="14"/>
  <c r="G13" i="14"/>
  <c r="G28" i="14" s="1"/>
  <c r="J13" i="14"/>
  <c r="J28" i="14" s="1"/>
  <c r="M13" i="14"/>
  <c r="M28" i="14" s="1"/>
  <c r="K29" i="16"/>
  <c r="O25" i="2"/>
  <c r="K22" i="14"/>
  <c r="H18" i="16"/>
  <c r="N34" i="16"/>
  <c r="N35" i="16"/>
  <c r="K24" i="2"/>
  <c r="J21" i="14"/>
  <c r="F23" i="2"/>
  <c r="I13" i="14"/>
  <c r="I28" i="14" s="1"/>
  <c r="L52" i="13"/>
  <c r="J40" i="14"/>
  <c r="O13" i="14"/>
  <c r="O28" i="14" s="1"/>
  <c r="Q22" i="14"/>
  <c r="O52" i="13"/>
  <c r="N27" i="14" l="1"/>
  <c r="L54" i="14"/>
  <c r="N30" i="16"/>
  <c r="E34" i="16"/>
  <c r="E48" i="16" s="1"/>
  <c r="E4" i="18" s="1"/>
  <c r="E23" i="2"/>
  <c r="I62" i="16"/>
  <c r="F26" i="13"/>
  <c r="N51" i="13"/>
  <c r="N66" i="13" s="1"/>
  <c r="L27" i="13"/>
  <c r="I27" i="13"/>
  <c r="G11" i="18"/>
  <c r="E27" i="13"/>
  <c r="E37" i="13" s="1"/>
  <c r="F44" i="14"/>
  <c r="F43" i="14"/>
  <c r="F42" i="14" s="1"/>
  <c r="G27" i="14"/>
  <c r="M30" i="16"/>
  <c r="F12" i="14"/>
  <c r="F27" i="14" s="1"/>
  <c r="I27" i="18"/>
  <c r="G27" i="13"/>
  <c r="E27" i="18"/>
  <c r="E64" i="18" s="1"/>
  <c r="M26" i="18"/>
  <c r="N26" i="14"/>
  <c r="O23" i="2"/>
  <c r="O10" i="13" s="1"/>
  <c r="O11" i="14"/>
  <c r="O26" i="14" s="1"/>
  <c r="O34" i="16"/>
  <c r="O11" i="18"/>
  <c r="O26" i="18" s="1"/>
  <c r="O30" i="16"/>
  <c r="I22" i="16"/>
  <c r="I167" i="18" s="1"/>
  <c r="I10" i="14"/>
  <c r="I25" i="14" s="1"/>
  <c r="F26" i="18"/>
  <c r="G26" i="13"/>
  <c r="N26" i="13"/>
  <c r="F26" i="14"/>
  <c r="N101" i="18"/>
  <c r="N84" i="18"/>
  <c r="N85" i="18"/>
  <c r="N100" i="18" s="1"/>
  <c r="N20" i="14"/>
  <c r="N20" i="18"/>
  <c r="N25" i="18" s="1"/>
  <c r="N20" i="13"/>
  <c r="N25" i="13" s="1"/>
  <c r="I11" i="18"/>
  <c r="I26" i="18" s="1"/>
  <c r="I11" i="13"/>
  <c r="I26" i="13" s="1"/>
  <c r="G38" i="18"/>
  <c r="G39" i="18"/>
  <c r="G54" i="18" s="1"/>
  <c r="G55" i="18"/>
  <c r="K15" i="18"/>
  <c r="K15" i="13"/>
  <c r="I39" i="18"/>
  <c r="I54" i="18" s="1"/>
  <c r="I38" i="18"/>
  <c r="I55" i="18"/>
  <c r="F67" i="13"/>
  <c r="F10" i="18"/>
  <c r="F10" i="13"/>
  <c r="O12" i="18"/>
  <c r="O27" i="18" s="1"/>
  <c r="O12" i="13"/>
  <c r="O27" i="13" s="1"/>
  <c r="P12" i="18"/>
  <c r="P27" i="18" s="1"/>
  <c r="P12" i="13"/>
  <c r="P27" i="13" s="1"/>
  <c r="K12" i="18"/>
  <c r="K27" i="18" s="1"/>
  <c r="K12" i="13"/>
  <c r="K27" i="13" s="1"/>
  <c r="K38" i="18"/>
  <c r="K39" i="18"/>
  <c r="K54" i="18" s="1"/>
  <c r="K55" i="18"/>
  <c r="F39" i="18"/>
  <c r="F54" i="18" s="1"/>
  <c r="F38" i="18"/>
  <c r="F55" i="18"/>
  <c r="L15" i="18"/>
  <c r="L15" i="13"/>
  <c r="G85" i="18"/>
  <c r="G100" i="18" s="1"/>
  <c r="G84" i="18"/>
  <c r="G101" i="18"/>
  <c r="I85" i="18"/>
  <c r="I100" i="18" s="1"/>
  <c r="I101" i="18"/>
  <c r="I84" i="18"/>
  <c r="Q15" i="18"/>
  <c r="Q15" i="13"/>
  <c r="H12" i="18"/>
  <c r="H27" i="18" s="1"/>
  <c r="H12" i="13"/>
  <c r="H27" i="13" s="1"/>
  <c r="P20" i="18"/>
  <c r="P20" i="13"/>
  <c r="H11" i="18"/>
  <c r="H26" i="18" s="1"/>
  <c r="H11" i="13"/>
  <c r="H26" i="13" s="1"/>
  <c r="Q11" i="18"/>
  <c r="Q26" i="18" s="1"/>
  <c r="Q11" i="13"/>
  <c r="Q26" i="13" s="1"/>
  <c r="G10" i="18"/>
  <c r="G10" i="13"/>
  <c r="E11" i="18"/>
  <c r="E26" i="18" s="1"/>
  <c r="E11" i="13"/>
  <c r="E26" i="13" s="1"/>
  <c r="G15" i="18"/>
  <c r="G15" i="13"/>
  <c r="G40" i="16"/>
  <c r="F32" i="18"/>
  <c r="K84" i="18"/>
  <c r="K85" i="18"/>
  <c r="K100" i="18" s="1"/>
  <c r="K101" i="18"/>
  <c r="F85" i="18"/>
  <c r="F100" i="18" s="1"/>
  <c r="F84" i="18"/>
  <c r="F101" i="18"/>
  <c r="H38" i="18"/>
  <c r="H39" i="18"/>
  <c r="H54" i="18" s="1"/>
  <c r="H55" i="18"/>
  <c r="P23" i="16"/>
  <c r="P190" i="18" s="1"/>
  <c r="K11" i="18"/>
  <c r="K26" i="18" s="1"/>
  <c r="K11" i="13"/>
  <c r="K26" i="13" s="1"/>
  <c r="O84" i="18"/>
  <c r="O85" i="18"/>
  <c r="O100" i="18" s="1"/>
  <c r="O101" i="18"/>
  <c r="J12" i="18"/>
  <c r="J27" i="18" s="1"/>
  <c r="J12" i="13"/>
  <c r="J27" i="13" s="1"/>
  <c r="L11" i="18"/>
  <c r="L26" i="18" s="1"/>
  <c r="L11" i="13"/>
  <c r="L26" i="13" s="1"/>
  <c r="L23" i="2"/>
  <c r="H101" i="18"/>
  <c r="H84" i="18"/>
  <c r="H85" i="18"/>
  <c r="H100" i="18" s="1"/>
  <c r="M10" i="18"/>
  <c r="M25" i="18" s="1"/>
  <c r="M10" i="13"/>
  <c r="M25" i="13" s="1"/>
  <c r="I38" i="14"/>
  <c r="I39" i="14"/>
  <c r="I54" i="14" s="1"/>
  <c r="I55" i="14"/>
  <c r="E185" i="18"/>
  <c r="O26" i="13"/>
  <c r="E10" i="18"/>
  <c r="E25" i="18" s="1"/>
  <c r="E10" i="13"/>
  <c r="E25" i="13" s="1"/>
  <c r="P15" i="18"/>
  <c r="P15" i="13"/>
  <c r="F12" i="18"/>
  <c r="F27" i="18" s="1"/>
  <c r="F64" i="18" s="1"/>
  <c r="F12" i="13"/>
  <c r="F27" i="13" s="1"/>
  <c r="F37" i="13" s="1"/>
  <c r="P11" i="18"/>
  <c r="P26" i="18" s="1"/>
  <c r="P11" i="13"/>
  <c r="P26" i="13" s="1"/>
  <c r="Q20" i="18"/>
  <c r="Q20" i="13"/>
  <c r="I10" i="18"/>
  <c r="I25" i="18" s="1"/>
  <c r="I10" i="13"/>
  <c r="I25" i="13" s="1"/>
  <c r="L20" i="18"/>
  <c r="L20" i="13"/>
  <c r="O15" i="18"/>
  <c r="O15" i="13"/>
  <c r="L55" i="18"/>
  <c r="L38" i="18"/>
  <c r="L39" i="18"/>
  <c r="L54" i="18" s="1"/>
  <c r="M12" i="18"/>
  <c r="M27" i="18" s="1"/>
  <c r="M12" i="13"/>
  <c r="M27" i="13" s="1"/>
  <c r="P38" i="18"/>
  <c r="P39" i="18"/>
  <c r="P54" i="18" s="1"/>
  <c r="P55" i="18"/>
  <c r="F15" i="18"/>
  <c r="F15" i="13"/>
  <c r="F51" i="13"/>
  <c r="N54" i="14"/>
  <c r="Q85" i="18"/>
  <c r="Q100" i="18" s="1"/>
  <c r="Q84" i="18"/>
  <c r="Q101" i="18"/>
  <c r="Q12" i="18"/>
  <c r="Q27" i="18" s="1"/>
  <c r="Q12" i="13"/>
  <c r="Q27" i="13" s="1"/>
  <c r="J11" i="18"/>
  <c r="J26" i="18" s="1"/>
  <c r="J11" i="13"/>
  <c r="J26" i="13" s="1"/>
  <c r="F31" i="14"/>
  <c r="F31" i="18"/>
  <c r="J15" i="18"/>
  <c r="J15" i="13"/>
  <c r="E55" i="18"/>
  <c r="E38" i="18"/>
  <c r="E39" i="18"/>
  <c r="E54" i="18" s="1"/>
  <c r="M55" i="18"/>
  <c r="M39" i="18"/>
  <c r="M54" i="18" s="1"/>
  <c r="M38" i="18"/>
  <c r="P101" i="18"/>
  <c r="P84" i="18"/>
  <c r="P85" i="18"/>
  <c r="P100" i="18" s="1"/>
  <c r="J39" i="18"/>
  <c r="J54" i="18" s="1"/>
  <c r="J38" i="18"/>
  <c r="J55" i="18"/>
  <c r="L62" i="16"/>
  <c r="G67" i="13"/>
  <c r="G51" i="13"/>
  <c r="G66" i="13" s="1"/>
  <c r="N26" i="18"/>
  <c r="N27" i="18"/>
  <c r="E162" i="18"/>
  <c r="G26" i="18"/>
  <c r="Q38" i="18"/>
  <c r="Q55" i="18"/>
  <c r="Q39" i="18"/>
  <c r="Q54" i="18" s="1"/>
  <c r="E101" i="18"/>
  <c r="E85" i="18"/>
  <c r="E100" i="18" s="1"/>
  <c r="E84" i="18"/>
  <c r="L84" i="18"/>
  <c r="L85" i="18"/>
  <c r="L100" i="18" s="1"/>
  <c r="L101" i="18"/>
  <c r="M84" i="18"/>
  <c r="M85" i="18"/>
  <c r="M100" i="18" s="1"/>
  <c r="M101" i="18"/>
  <c r="N39" i="18"/>
  <c r="N54" i="18" s="1"/>
  <c r="N55" i="18"/>
  <c r="N38" i="18"/>
  <c r="O38" i="18"/>
  <c r="O39" i="18"/>
  <c r="O54" i="18" s="1"/>
  <c r="O55" i="18"/>
  <c r="J85" i="18"/>
  <c r="J100" i="18" s="1"/>
  <c r="J101" i="18"/>
  <c r="J84" i="18"/>
  <c r="N27" i="13"/>
  <c r="P22" i="16"/>
  <c r="P167" i="18" s="1"/>
  <c r="E30" i="16"/>
  <c r="I156" i="13"/>
  <c r="I121" i="14"/>
  <c r="I94" i="14"/>
  <c r="P21" i="16"/>
  <c r="G21" i="16"/>
  <c r="H55" i="14"/>
  <c r="H39" i="14"/>
  <c r="H38" i="14"/>
  <c r="H37" i="14" s="1"/>
  <c r="F38" i="14"/>
  <c r="F39" i="14"/>
  <c r="F54" i="14" s="1"/>
  <c r="E55" i="14"/>
  <c r="E39" i="14"/>
  <c r="E54" i="14" s="1"/>
  <c r="E38" i="14"/>
  <c r="K55" i="14"/>
  <c r="K38" i="14"/>
  <c r="K37" i="14" s="1"/>
  <c r="K39" i="14"/>
  <c r="N53" i="14"/>
  <c r="P55" i="14"/>
  <c r="P39" i="14"/>
  <c r="P54" i="14" s="1"/>
  <c r="P38" i="14"/>
  <c r="P37" i="14" s="1"/>
  <c r="L26" i="14"/>
  <c r="G55" i="14"/>
  <c r="G39" i="14"/>
  <c r="G54" i="14" s="1"/>
  <c r="G38" i="14"/>
  <c r="G37" i="14" s="1"/>
  <c r="G52" i="14" s="1"/>
  <c r="M55" i="14"/>
  <c r="M39" i="14"/>
  <c r="M54" i="14" s="1"/>
  <c r="M38" i="14"/>
  <c r="J55" i="14"/>
  <c r="J39" i="14"/>
  <c r="J54" i="14" s="1"/>
  <c r="J38" i="14"/>
  <c r="J37" i="14" s="1"/>
  <c r="Q55" i="14"/>
  <c r="Q38" i="14"/>
  <c r="Q37" i="14" s="1"/>
  <c r="Q39" i="14"/>
  <c r="L53" i="14"/>
  <c r="I66" i="13"/>
  <c r="O88" i="13"/>
  <c r="O89" i="13"/>
  <c r="I64" i="13"/>
  <c r="G88" i="13"/>
  <c r="G89" i="13"/>
  <c r="I88" i="13"/>
  <c r="I89" i="13"/>
  <c r="L67" i="13"/>
  <c r="L50" i="13"/>
  <c r="L49" i="13" s="1"/>
  <c r="L64" i="13" s="1"/>
  <c r="L51" i="13"/>
  <c r="L66" i="13" s="1"/>
  <c r="O67" i="13"/>
  <c r="O50" i="13"/>
  <c r="O49" i="13" s="1"/>
  <c r="O64" i="13" s="1"/>
  <c r="O51" i="13"/>
  <c r="O66" i="13" s="1"/>
  <c r="P67" i="13"/>
  <c r="P51" i="13"/>
  <c r="P66" i="13" s="1"/>
  <c r="P50" i="13"/>
  <c r="P49" i="13" s="1"/>
  <c r="F65" i="13"/>
  <c r="K67" i="13"/>
  <c r="K50" i="13"/>
  <c r="K49" i="13" s="1"/>
  <c r="K51" i="13"/>
  <c r="K66" i="13" s="1"/>
  <c r="M67" i="13"/>
  <c r="M51" i="13"/>
  <c r="M66" i="13" s="1"/>
  <c r="M50" i="13"/>
  <c r="E67" i="13"/>
  <c r="E50" i="13"/>
  <c r="E49" i="13" s="1"/>
  <c r="E64" i="13" s="1"/>
  <c r="E70" i="13" s="1"/>
  <c r="E51" i="13"/>
  <c r="E66" i="13" s="1"/>
  <c r="F87" i="13"/>
  <c r="F89" i="13"/>
  <c r="H88" i="13"/>
  <c r="H89" i="13"/>
  <c r="H67" i="13"/>
  <c r="H51" i="13"/>
  <c r="H66" i="13" s="1"/>
  <c r="H50" i="13"/>
  <c r="H49" i="13" s="1"/>
  <c r="Q67" i="13"/>
  <c r="Q51" i="13"/>
  <c r="Q66" i="13" s="1"/>
  <c r="Q50" i="13"/>
  <c r="Q49" i="13" s="1"/>
  <c r="J67" i="13"/>
  <c r="J50" i="13"/>
  <c r="J49" i="13" s="1"/>
  <c r="J51" i="13"/>
  <c r="J66" i="13" s="1"/>
  <c r="E88" i="13"/>
  <c r="E87" i="13"/>
  <c r="E111" i="14"/>
  <c r="I87" i="13"/>
  <c r="L30" i="16"/>
  <c r="I21" i="16"/>
  <c r="L21" i="16"/>
  <c r="G22" i="16"/>
  <c r="G23" i="16"/>
  <c r="G190" i="18" s="1"/>
  <c r="G87" i="13"/>
  <c r="Q89" i="13"/>
  <c r="J30" i="16"/>
  <c r="P89" i="13"/>
  <c r="P88" i="13"/>
  <c r="L22" i="16"/>
  <c r="K88" i="13"/>
  <c r="F31" i="13"/>
  <c r="F41" i="13" s="1"/>
  <c r="J62" i="16"/>
  <c r="Q21" i="16"/>
  <c r="K89" i="13"/>
  <c r="G32" i="13"/>
  <c r="G42" i="13" s="1"/>
  <c r="F59" i="14"/>
  <c r="G48" i="16"/>
  <c r="G4" i="18" s="1"/>
  <c r="L89" i="13"/>
  <c r="Q88" i="13"/>
  <c r="F32" i="13"/>
  <c r="J23" i="16"/>
  <c r="O21" i="16"/>
  <c r="J22" i="16"/>
  <c r="J167" i="18" s="1"/>
  <c r="O22" i="16"/>
  <c r="K30" i="16"/>
  <c r="N23" i="16"/>
  <c r="N190" i="18" s="1"/>
  <c r="O62" i="16"/>
  <c r="N22" i="16"/>
  <c r="N167" i="18" s="1"/>
  <c r="M22" i="16"/>
  <c r="M167" i="18" s="1"/>
  <c r="Q23" i="16"/>
  <c r="Q156" i="13" s="1"/>
  <c r="M23" i="16"/>
  <c r="M190" i="18" s="1"/>
  <c r="K21" i="16"/>
  <c r="L87" i="13"/>
  <c r="G75" i="14"/>
  <c r="K22" i="16"/>
  <c r="K167" i="18" s="1"/>
  <c r="H40" i="16"/>
  <c r="H32" i="18" s="1"/>
  <c r="F32" i="14"/>
  <c r="G32" i="14"/>
  <c r="E128" i="13"/>
  <c r="P30" i="16"/>
  <c r="F48" i="16"/>
  <c r="F4" i="18" s="1"/>
  <c r="K23" i="16"/>
  <c r="K190" i="18" s="1"/>
  <c r="Q22" i="16"/>
  <c r="Q75" i="14" s="1"/>
  <c r="F21" i="16"/>
  <c r="F22" i="16"/>
  <c r="F23" i="16"/>
  <c r="F190" i="18" s="1"/>
  <c r="E62" i="16"/>
  <c r="E23" i="16"/>
  <c r="E190" i="18" s="1"/>
  <c r="E22" i="16"/>
  <c r="H22" i="16"/>
  <c r="H167" i="18" s="1"/>
  <c r="H21" i="16"/>
  <c r="H23" i="16"/>
  <c r="H190" i="18" s="1"/>
  <c r="F58" i="14"/>
  <c r="G39" i="16"/>
  <c r="G65" i="13"/>
  <c r="P53" i="14"/>
  <c r="N33" i="16"/>
  <c r="E27" i="14"/>
  <c r="F88" i="13"/>
  <c r="J89" i="13"/>
  <c r="E151" i="13"/>
  <c r="Q20" i="14"/>
  <c r="Q30" i="16"/>
  <c r="H87" i="13"/>
  <c r="F66" i="13"/>
  <c r="P156" i="13"/>
  <c r="N25" i="14"/>
  <c r="J87" i="13"/>
  <c r="J35" i="16"/>
  <c r="O53" i="14"/>
  <c r="E11" i="14"/>
  <c r="E26" i="14" s="1"/>
  <c r="J12" i="14"/>
  <c r="J27" i="14" s="1"/>
  <c r="G33" i="16"/>
  <c r="M26" i="14"/>
  <c r="G15" i="14"/>
  <c r="G25" i="14" s="1"/>
  <c r="N52" i="14"/>
  <c r="M25" i="14"/>
  <c r="P23" i="2"/>
  <c r="P33" i="16" s="1"/>
  <c r="P11" i="14"/>
  <c r="P26" i="14" s="1"/>
  <c r="L20" i="14"/>
  <c r="L52" i="14"/>
  <c r="P20" i="14"/>
  <c r="P15" i="14"/>
  <c r="H12" i="14"/>
  <c r="H27" i="14" s="1"/>
  <c r="H35" i="16"/>
  <c r="H54" i="14"/>
  <c r="E10" i="14"/>
  <c r="E25" i="14" s="1"/>
  <c r="E33" i="16"/>
  <c r="M89" i="13"/>
  <c r="M87" i="13"/>
  <c r="J34" i="16"/>
  <c r="J11" i="14"/>
  <c r="J26" i="14" s="1"/>
  <c r="J23" i="2"/>
  <c r="F62" i="16"/>
  <c r="G64" i="13"/>
  <c r="O52" i="14"/>
  <c r="O33" i="16"/>
  <c r="P35" i="16"/>
  <c r="P12" i="14"/>
  <c r="P27" i="14" s="1"/>
  <c r="Q15" i="14"/>
  <c r="N87" i="13"/>
  <c r="N89" i="13"/>
  <c r="L156" i="13"/>
  <c r="L121" i="14"/>
  <c r="L94" i="14"/>
  <c r="I133" i="13"/>
  <c r="O54" i="14"/>
  <c r="O12" i="14"/>
  <c r="O27" i="14" s="1"/>
  <c r="O35" i="16"/>
  <c r="K11" i="14"/>
  <c r="K26" i="14" s="1"/>
  <c r="K23" i="2"/>
  <c r="K34" i="16"/>
  <c r="N62" i="16"/>
  <c r="I65" i="13"/>
  <c r="E89" i="14"/>
  <c r="Q12" i="14"/>
  <c r="Q27" i="14" s="1"/>
  <c r="Q35" i="16"/>
  <c r="Q54" i="14"/>
  <c r="E4" i="14"/>
  <c r="E4" i="13"/>
  <c r="K54" i="14"/>
  <c r="K35" i="16"/>
  <c r="K12" i="14"/>
  <c r="K27" i="14" s="1"/>
  <c r="O94" i="14"/>
  <c r="O121" i="14"/>
  <c r="O156" i="13"/>
  <c r="Q34" i="16"/>
  <c r="Q11" i="14"/>
  <c r="Q26" i="14" s="1"/>
  <c r="Q23" i="2"/>
  <c r="F10" i="14"/>
  <c r="F25" i="14" s="1"/>
  <c r="F33" i="16"/>
  <c r="F64" i="13"/>
  <c r="H59" i="14"/>
  <c r="H62" i="16"/>
  <c r="H23" i="2"/>
  <c r="H11" i="14"/>
  <c r="H26" i="14" s="1"/>
  <c r="H53" i="14"/>
  <c r="H34" i="16"/>
  <c r="M62" i="16"/>
  <c r="N64" i="13"/>
  <c r="N65" i="13"/>
  <c r="M27" i="14"/>
  <c r="I116" i="14" l="1"/>
  <c r="I75" i="14"/>
  <c r="P116" i="14"/>
  <c r="P133" i="13"/>
  <c r="P121" i="14"/>
  <c r="I24" i="16"/>
  <c r="P94" i="14"/>
  <c r="O90" i="13"/>
  <c r="G25" i="13"/>
  <c r="H48" i="16"/>
  <c r="H4" i="18" s="1"/>
  <c r="H32" i="13"/>
  <c r="H42" i="13" s="1"/>
  <c r="O10" i="18"/>
  <c r="O25" i="18" s="1"/>
  <c r="O10" i="14"/>
  <c r="O25" i="14" s="1"/>
  <c r="F25" i="13"/>
  <c r="E167" i="18"/>
  <c r="Q53" i="14"/>
  <c r="K53" i="14"/>
  <c r="G4" i="13"/>
  <c r="J53" i="14"/>
  <c r="G116" i="14"/>
  <c r="G167" i="18"/>
  <c r="O37" i="18"/>
  <c r="O52" i="18" s="1"/>
  <c r="O53" i="18"/>
  <c r="J37" i="18"/>
  <c r="J52" i="18" s="1"/>
  <c r="J53" i="18"/>
  <c r="F99" i="18"/>
  <c r="F83" i="18"/>
  <c r="F98" i="18" s="1"/>
  <c r="F53" i="18"/>
  <c r="F37" i="18"/>
  <c r="F52" i="18" s="1"/>
  <c r="N99" i="18"/>
  <c r="N83" i="18"/>
  <c r="N98" i="18" s="1"/>
  <c r="N37" i="18"/>
  <c r="N52" i="18" s="1"/>
  <c r="N53" i="18"/>
  <c r="Q37" i="18"/>
  <c r="Q52" i="18" s="1"/>
  <c r="Q53" i="18"/>
  <c r="P37" i="18"/>
  <c r="P52" i="18" s="1"/>
  <c r="P53" i="18"/>
  <c r="L10" i="18"/>
  <c r="L25" i="18" s="1"/>
  <c r="L10" i="13"/>
  <c r="L25" i="13" s="1"/>
  <c r="L10" i="14"/>
  <c r="L25" i="14" s="1"/>
  <c r="L33" i="16"/>
  <c r="I83" i="18"/>
  <c r="I98" i="18" s="1"/>
  <c r="I99" i="18"/>
  <c r="L75" i="14"/>
  <c r="L167" i="18"/>
  <c r="G37" i="18"/>
  <c r="G52" i="18" s="1"/>
  <c r="G53" i="18"/>
  <c r="P10" i="18"/>
  <c r="P25" i="18" s="1"/>
  <c r="P10" i="13"/>
  <c r="P25" i="13" s="1"/>
  <c r="Q133" i="13"/>
  <c r="Q167" i="18"/>
  <c r="M83" i="18"/>
  <c r="M98" i="18" s="1"/>
  <c r="M99" i="18"/>
  <c r="O99" i="18"/>
  <c r="O83" i="18"/>
  <c r="O98" i="18" s="1"/>
  <c r="H37" i="18"/>
  <c r="H52" i="18" s="1"/>
  <c r="H53" i="18"/>
  <c r="G59" i="14"/>
  <c r="G32" i="18"/>
  <c r="G133" i="13"/>
  <c r="L83" i="18"/>
  <c r="L98" i="18" s="1"/>
  <c r="L99" i="18"/>
  <c r="K10" i="18"/>
  <c r="K25" i="18" s="1"/>
  <c r="K10" i="13"/>
  <c r="K25" i="13" s="1"/>
  <c r="H59" i="18"/>
  <c r="H69" i="18"/>
  <c r="M53" i="18"/>
  <c r="M37" i="18"/>
  <c r="M52" i="18" s="1"/>
  <c r="F68" i="18"/>
  <c r="F58" i="18"/>
  <c r="H99" i="18"/>
  <c r="H83" i="18"/>
  <c r="H98" i="18" s="1"/>
  <c r="F69" i="18"/>
  <c r="F59" i="18"/>
  <c r="O25" i="13"/>
  <c r="O116" i="14"/>
  <c r="O167" i="18"/>
  <c r="I37" i="14"/>
  <c r="I52" i="14" s="1"/>
  <c r="I53" i="14"/>
  <c r="J10" i="18"/>
  <c r="J25" i="18" s="1"/>
  <c r="J10" i="13"/>
  <c r="J25" i="13" s="1"/>
  <c r="F133" i="13"/>
  <c r="F167" i="18"/>
  <c r="J94" i="14"/>
  <c r="J190" i="18"/>
  <c r="Q83" i="18"/>
  <c r="Q98" i="18" s="1"/>
  <c r="Q99" i="18"/>
  <c r="K83" i="18"/>
  <c r="K98" i="18" s="1"/>
  <c r="K99" i="18"/>
  <c r="K37" i="18"/>
  <c r="K52" i="18" s="1"/>
  <c r="K53" i="18"/>
  <c r="G25" i="18"/>
  <c r="F25" i="18"/>
  <c r="E37" i="18"/>
  <c r="E52" i="18" s="1"/>
  <c r="E74" i="18" s="1"/>
  <c r="E53" i="18"/>
  <c r="E75" i="18" s="1"/>
  <c r="H10" i="18"/>
  <c r="H25" i="18" s="1"/>
  <c r="H10" i="13"/>
  <c r="H25" i="13" s="1"/>
  <c r="Q10" i="18"/>
  <c r="Q25" i="18" s="1"/>
  <c r="Q10" i="13"/>
  <c r="Q25" i="13" s="1"/>
  <c r="H39" i="16"/>
  <c r="H31" i="18" s="1"/>
  <c r="G31" i="18"/>
  <c r="Q121" i="14"/>
  <c r="Q190" i="18"/>
  <c r="J99" i="18"/>
  <c r="J83" i="18"/>
  <c r="J98" i="18" s="1"/>
  <c r="P83" i="18"/>
  <c r="P98" i="18" s="1"/>
  <c r="P99" i="18"/>
  <c r="L37" i="18"/>
  <c r="L52" i="18" s="1"/>
  <c r="L53" i="18"/>
  <c r="G83" i="18"/>
  <c r="G98" i="18" s="1"/>
  <c r="G99" i="18"/>
  <c r="I37" i="18"/>
  <c r="I52" i="18" s="1"/>
  <c r="I53" i="18"/>
  <c r="P75" i="14"/>
  <c r="E83" i="18"/>
  <c r="E98" i="18" s="1"/>
  <c r="E104" i="18" s="1"/>
  <c r="E99" i="18"/>
  <c r="E105" i="18" s="1"/>
  <c r="G4" i="14"/>
  <c r="P24" i="16"/>
  <c r="L116" i="14"/>
  <c r="E121" i="14"/>
  <c r="E94" i="14"/>
  <c r="E156" i="13"/>
  <c r="G24" i="16"/>
  <c r="G121" i="14"/>
  <c r="G94" i="14"/>
  <c r="G156" i="13"/>
  <c r="G71" i="13"/>
  <c r="J24" i="16"/>
  <c r="F94" i="14"/>
  <c r="F121" i="14"/>
  <c r="F156" i="13"/>
  <c r="L24" i="16"/>
  <c r="H156" i="13"/>
  <c r="H121" i="14"/>
  <c r="H94" i="14"/>
  <c r="F24" i="16"/>
  <c r="M37" i="14"/>
  <c r="M52" i="14" s="1"/>
  <c r="M53" i="14"/>
  <c r="F37" i="14"/>
  <c r="F52" i="14" s="1"/>
  <c r="F64" i="14" s="1"/>
  <c r="F53" i="14"/>
  <c r="F65" i="14" s="1"/>
  <c r="E37" i="14"/>
  <c r="E53" i="14"/>
  <c r="E65" i="14" s="1"/>
  <c r="G53" i="14"/>
  <c r="G65" i="14" s="1"/>
  <c r="L65" i="13"/>
  <c r="F70" i="13"/>
  <c r="H65" i="13"/>
  <c r="H71" i="13" s="1"/>
  <c r="G90" i="13"/>
  <c r="F42" i="13"/>
  <c r="F71" i="13" s="1"/>
  <c r="J65" i="13"/>
  <c r="F90" i="13"/>
  <c r="I90" i="13"/>
  <c r="Q90" i="13"/>
  <c r="Q65" i="13"/>
  <c r="O65" i="13"/>
  <c r="P65" i="13"/>
  <c r="E90" i="13"/>
  <c r="K65" i="13"/>
  <c r="H90" i="13"/>
  <c r="J90" i="13"/>
  <c r="L90" i="13"/>
  <c r="P90" i="13"/>
  <c r="M49" i="13"/>
  <c r="M64" i="13" s="1"/>
  <c r="M65" i="13"/>
  <c r="E65" i="13"/>
  <c r="E71" i="13" s="1"/>
  <c r="Q116" i="14"/>
  <c r="O24" i="16"/>
  <c r="O75" i="14"/>
  <c r="L133" i="13"/>
  <c r="Q24" i="16"/>
  <c r="O133" i="13"/>
  <c r="K90" i="13"/>
  <c r="E133" i="13"/>
  <c r="J121" i="14"/>
  <c r="J75" i="14"/>
  <c r="K94" i="14"/>
  <c r="I40" i="16"/>
  <c r="I32" i="13" s="1"/>
  <c r="H32" i="14"/>
  <c r="E24" i="16"/>
  <c r="K24" i="16"/>
  <c r="J133" i="13"/>
  <c r="F116" i="14"/>
  <c r="H65" i="14"/>
  <c r="J156" i="13"/>
  <c r="J116" i="14"/>
  <c r="H24" i="16"/>
  <c r="Q94" i="14"/>
  <c r="K156" i="13"/>
  <c r="K121" i="14"/>
  <c r="F4" i="14"/>
  <c r="F4" i="13"/>
  <c r="E75" i="14"/>
  <c r="E116" i="14"/>
  <c r="F75" i="14"/>
  <c r="G47" i="16"/>
  <c r="G3" i="18" s="1"/>
  <c r="G41" i="16"/>
  <c r="G31" i="13"/>
  <c r="G31" i="14"/>
  <c r="G58" i="14"/>
  <c r="G64" i="14" s="1"/>
  <c r="K75" i="14"/>
  <c r="K133" i="13"/>
  <c r="K116" i="14"/>
  <c r="N24" i="16"/>
  <c r="P64" i="13"/>
  <c r="P10" i="14"/>
  <c r="P25" i="14" s="1"/>
  <c r="P52" i="14"/>
  <c r="H4" i="13"/>
  <c r="H4" i="14"/>
  <c r="Q10" i="14"/>
  <c r="Q25" i="14" s="1"/>
  <c r="Q33" i="16"/>
  <c r="Q52" i="14"/>
  <c r="Q64" i="13"/>
  <c r="J52" i="14"/>
  <c r="J64" i="13"/>
  <c r="J10" i="14"/>
  <c r="J25" i="14" s="1"/>
  <c r="J33" i="16"/>
  <c r="M24" i="16"/>
  <c r="M90" i="13"/>
  <c r="E47" i="16"/>
  <c r="E41" i="16"/>
  <c r="E33" i="18" s="1"/>
  <c r="H64" i="13"/>
  <c r="H10" i="14"/>
  <c r="H25" i="14" s="1"/>
  <c r="H52" i="14"/>
  <c r="H33" i="16"/>
  <c r="N121" i="14"/>
  <c r="N94" i="14"/>
  <c r="N156" i="13"/>
  <c r="K10" i="14"/>
  <c r="K25" i="14" s="1"/>
  <c r="K64" i="13"/>
  <c r="K52" i="14"/>
  <c r="K33" i="16"/>
  <c r="H133" i="13"/>
  <c r="H75" i="14"/>
  <c r="H116" i="14"/>
  <c r="F47" i="16"/>
  <c r="F41" i="16"/>
  <c r="F33" i="18" s="1"/>
  <c r="N133" i="13"/>
  <c r="N75" i="14"/>
  <c r="N116" i="14"/>
  <c r="N90" i="13"/>
  <c r="M133" i="13"/>
  <c r="M75" i="14"/>
  <c r="M116" i="14"/>
  <c r="M156" i="13"/>
  <c r="M121" i="14"/>
  <c r="M94" i="14"/>
  <c r="F104" i="18" l="1"/>
  <c r="I39" i="16"/>
  <c r="I31" i="18" s="1"/>
  <c r="H58" i="14"/>
  <c r="H64" i="14" s="1"/>
  <c r="H31" i="13"/>
  <c r="H41" i="13" s="1"/>
  <c r="H70" i="13" s="1"/>
  <c r="H105" i="18"/>
  <c r="H75" i="18"/>
  <c r="H31" i="14"/>
  <c r="F75" i="18"/>
  <c r="F74" i="18"/>
  <c r="F57" i="16"/>
  <c r="F61" i="16" s="1"/>
  <c r="F3" i="18"/>
  <c r="E57" i="16"/>
  <c r="E61" i="16" s="1"/>
  <c r="E3" i="18"/>
  <c r="I68" i="18"/>
  <c r="I104" i="18" s="1"/>
  <c r="I58" i="18"/>
  <c r="I59" i="14"/>
  <c r="I65" i="14" s="1"/>
  <c r="I32" i="18"/>
  <c r="H68" i="18"/>
  <c r="H104" i="18" s="1"/>
  <c r="H58" i="18"/>
  <c r="G68" i="18"/>
  <c r="G104" i="18" s="1"/>
  <c r="G58" i="18"/>
  <c r="G59" i="18"/>
  <c r="G69" i="18"/>
  <c r="G75" i="18" s="1"/>
  <c r="G49" i="16"/>
  <c r="G33" i="18"/>
  <c r="F105" i="18"/>
  <c r="G41" i="13"/>
  <c r="G70" i="13" s="1"/>
  <c r="I42" i="13"/>
  <c r="I71" i="13" s="1"/>
  <c r="G57" i="16"/>
  <c r="G61" i="16" s="1"/>
  <c r="I48" i="16"/>
  <c r="I4" i="14" s="1"/>
  <c r="J40" i="16"/>
  <c r="J59" i="14" s="1"/>
  <c r="J65" i="14" s="1"/>
  <c r="I32" i="14"/>
  <c r="G33" i="14"/>
  <c r="G3" i="14"/>
  <c r="G3" i="13"/>
  <c r="G42" i="16"/>
  <c r="G33" i="13"/>
  <c r="I31" i="13"/>
  <c r="I58" i="14"/>
  <c r="I64" i="14" s="1"/>
  <c r="J39" i="16"/>
  <c r="I31" i="14"/>
  <c r="I41" i="16"/>
  <c r="I33" i="18" s="1"/>
  <c r="E3" i="13"/>
  <c r="E3" i="14"/>
  <c r="F3" i="13"/>
  <c r="F3" i="14"/>
  <c r="H41" i="16"/>
  <c r="H47" i="16"/>
  <c r="E33" i="14"/>
  <c r="E33" i="13"/>
  <c r="E49" i="16"/>
  <c r="E5" i="18" s="1"/>
  <c r="E42" i="16"/>
  <c r="E34" i="18" s="1"/>
  <c r="F42" i="16"/>
  <c r="F33" i="13"/>
  <c r="F33" i="14"/>
  <c r="F49" i="16"/>
  <c r="F5" i="18" s="1"/>
  <c r="I47" i="16" l="1"/>
  <c r="J32" i="13"/>
  <c r="J42" i="13" s="1"/>
  <c r="J71" i="13" s="1"/>
  <c r="G74" i="18"/>
  <c r="I74" i="18"/>
  <c r="G43" i="16"/>
  <c r="G44" i="16" s="1"/>
  <c r="G34" i="18"/>
  <c r="I4" i="13"/>
  <c r="I4" i="18"/>
  <c r="G5" i="14"/>
  <c r="G5" i="18"/>
  <c r="H74" i="18"/>
  <c r="J48" i="16"/>
  <c r="J4" i="13" s="1"/>
  <c r="J32" i="18"/>
  <c r="F43" i="16"/>
  <c r="F44" i="16" s="1"/>
  <c r="F34" i="18"/>
  <c r="G105" i="18"/>
  <c r="I69" i="18"/>
  <c r="I59" i="18"/>
  <c r="H33" i="13"/>
  <c r="H33" i="18"/>
  <c r="J47" i="16"/>
  <c r="J3" i="13" s="1"/>
  <c r="J31" i="18"/>
  <c r="H57" i="16"/>
  <c r="H61" i="16" s="1"/>
  <c r="H3" i="18"/>
  <c r="I57" i="16"/>
  <c r="I61" i="16" s="1"/>
  <c r="I3" i="18"/>
  <c r="G5" i="13"/>
  <c r="K40" i="16"/>
  <c r="K32" i="14" s="1"/>
  <c r="F43" i="13"/>
  <c r="F72" i="13" s="1"/>
  <c r="I41" i="13"/>
  <c r="I70" i="13" s="1"/>
  <c r="E43" i="13"/>
  <c r="E72" i="13" s="1"/>
  <c r="J32" i="14"/>
  <c r="G34" i="13"/>
  <c r="G34" i="14"/>
  <c r="G50" i="16"/>
  <c r="J41" i="16"/>
  <c r="I42" i="16"/>
  <c r="I33" i="13"/>
  <c r="I33" i="14"/>
  <c r="I49" i="16"/>
  <c r="I5" i="18" s="1"/>
  <c r="I3" i="14"/>
  <c r="I3" i="13"/>
  <c r="J31" i="14"/>
  <c r="J31" i="13"/>
  <c r="J58" i="14"/>
  <c r="J64" i="14" s="1"/>
  <c r="K39" i="16"/>
  <c r="K31" i="18" s="1"/>
  <c r="F50" i="16"/>
  <c r="F6" i="18" s="1"/>
  <c r="F7" i="18" s="1"/>
  <c r="F60" i="18" s="1"/>
  <c r="F34" i="13"/>
  <c r="F34" i="14"/>
  <c r="E5" i="13"/>
  <c r="E5" i="14"/>
  <c r="E50" i="16"/>
  <c r="E6" i="18" s="1"/>
  <c r="E7" i="18" s="1"/>
  <c r="E60" i="18" s="1"/>
  <c r="E34" i="14"/>
  <c r="E34" i="13"/>
  <c r="E43" i="16"/>
  <c r="F5" i="13"/>
  <c r="F5" i="14"/>
  <c r="H42" i="16"/>
  <c r="H33" i="14"/>
  <c r="H49" i="16"/>
  <c r="H5" i="18" s="1"/>
  <c r="H3" i="13"/>
  <c r="H3" i="14"/>
  <c r="K32" i="13" l="1"/>
  <c r="J3" i="14"/>
  <c r="I43" i="16"/>
  <c r="I44" i="16" s="1"/>
  <c r="I34" i="18"/>
  <c r="F70" i="18"/>
  <c r="F61" i="18"/>
  <c r="F71" i="18" s="1"/>
  <c r="I105" i="18"/>
  <c r="I75" i="18"/>
  <c r="J4" i="14"/>
  <c r="J4" i="18"/>
  <c r="E70" i="18"/>
  <c r="E61" i="18"/>
  <c r="E71" i="18" s="1"/>
  <c r="H34" i="13"/>
  <c r="H34" i="18"/>
  <c r="J69" i="18"/>
  <c r="J59" i="18"/>
  <c r="G6" i="14"/>
  <c r="G7" i="14" s="1"/>
  <c r="G6" i="18"/>
  <c r="G7" i="18" s="1"/>
  <c r="G60" i="18" s="1"/>
  <c r="J57" i="16"/>
  <c r="J61" i="16" s="1"/>
  <c r="J3" i="18"/>
  <c r="K68" i="18"/>
  <c r="K58" i="18"/>
  <c r="K48" i="16"/>
  <c r="K4" i="18" s="1"/>
  <c r="K32" i="18"/>
  <c r="J33" i="13"/>
  <c r="J33" i="18"/>
  <c r="J68" i="18"/>
  <c r="J58" i="18"/>
  <c r="K59" i="14"/>
  <c r="K65" i="14" s="1"/>
  <c r="L40" i="16"/>
  <c r="L59" i="14" s="1"/>
  <c r="L65" i="14" s="1"/>
  <c r="J41" i="13"/>
  <c r="J70" i="13" s="1"/>
  <c r="E44" i="13"/>
  <c r="E73" i="13" s="1"/>
  <c r="E74" i="13" s="1"/>
  <c r="K42" i="13"/>
  <c r="K71" i="13" s="1"/>
  <c r="F44" i="13"/>
  <c r="F73" i="13" s="1"/>
  <c r="F74" i="13" s="1"/>
  <c r="G51" i="16"/>
  <c r="G52" i="16" s="1"/>
  <c r="G6" i="13"/>
  <c r="G7" i="13" s="1"/>
  <c r="J49" i="16"/>
  <c r="J5" i="13" s="1"/>
  <c r="J42" i="16"/>
  <c r="J33" i="14"/>
  <c r="K58" i="14"/>
  <c r="K64" i="14" s="1"/>
  <c r="L39" i="16"/>
  <c r="L31" i="18" s="1"/>
  <c r="K47" i="16"/>
  <c r="K41" i="16"/>
  <c r="K33" i="18" s="1"/>
  <c r="K31" i="13"/>
  <c r="K31" i="14"/>
  <c r="I50" i="16"/>
  <c r="I6" i="18" s="1"/>
  <c r="I7" i="18" s="1"/>
  <c r="I34" i="14"/>
  <c r="I34" i="13"/>
  <c r="I5" i="13"/>
  <c r="I5" i="14"/>
  <c r="F6" i="14"/>
  <c r="F7" i="14" s="1"/>
  <c r="F60" i="14" s="1"/>
  <c r="F6" i="13"/>
  <c r="F7" i="13" s="1"/>
  <c r="H34" i="14"/>
  <c r="H50" i="16"/>
  <c r="H6" i="18" s="1"/>
  <c r="H7" i="18" s="1"/>
  <c r="H60" i="18" s="1"/>
  <c r="H43" i="16"/>
  <c r="E6" i="14"/>
  <c r="E7" i="14" s="1"/>
  <c r="E6" i="13"/>
  <c r="E7" i="13" s="1"/>
  <c r="E51" i="16"/>
  <c r="K4" i="13"/>
  <c r="E44" i="16"/>
  <c r="F51" i="16"/>
  <c r="H5" i="14"/>
  <c r="H5" i="13"/>
  <c r="L48" i="16" l="1"/>
  <c r="L4" i="18" s="1"/>
  <c r="L32" i="13"/>
  <c r="L32" i="14"/>
  <c r="G60" i="14"/>
  <c r="G66" i="14" s="1"/>
  <c r="I60" i="18"/>
  <c r="I61" i="18" s="1"/>
  <c r="K4" i="14"/>
  <c r="H61" i="18"/>
  <c r="G61" i="18"/>
  <c r="E76" i="18"/>
  <c r="E106" i="18"/>
  <c r="K57" i="16"/>
  <c r="K61" i="16" s="1"/>
  <c r="K3" i="18"/>
  <c r="J74" i="18"/>
  <c r="J104" i="18"/>
  <c r="E77" i="18"/>
  <c r="E107" i="18"/>
  <c r="J5" i="14"/>
  <c r="J5" i="18"/>
  <c r="F76" i="18"/>
  <c r="F106" i="18"/>
  <c r="J43" i="16"/>
  <c r="J44" i="16" s="1"/>
  <c r="J34" i="18"/>
  <c r="M40" i="16"/>
  <c r="M32" i="18" s="1"/>
  <c r="L32" i="18"/>
  <c r="K104" i="18"/>
  <c r="K74" i="18"/>
  <c r="F77" i="18"/>
  <c r="F107" i="18"/>
  <c r="J105" i="18"/>
  <c r="J75" i="18"/>
  <c r="L68" i="18"/>
  <c r="L58" i="18"/>
  <c r="K69" i="18"/>
  <c r="K59" i="18"/>
  <c r="G61" i="14"/>
  <c r="G67" i="14" s="1"/>
  <c r="G55" i="16"/>
  <c r="G58" i="16" s="1"/>
  <c r="G63" i="16" s="1"/>
  <c r="F76" i="13"/>
  <c r="E77" i="13"/>
  <c r="F77" i="13"/>
  <c r="F94" i="13" s="1"/>
  <c r="L42" i="13"/>
  <c r="L71" i="13" s="1"/>
  <c r="E76" i="13"/>
  <c r="K41" i="13"/>
  <c r="K70" i="13" s="1"/>
  <c r="J50" i="16"/>
  <c r="J6" i="18" s="1"/>
  <c r="J34" i="14"/>
  <c r="J34" i="13"/>
  <c r="K49" i="16"/>
  <c r="K5" i="18" s="1"/>
  <c r="K33" i="13"/>
  <c r="K42" i="16"/>
  <c r="K34" i="18" s="1"/>
  <c r="K33" i="14"/>
  <c r="I6" i="14"/>
  <c r="I7" i="14" s="1"/>
  <c r="I60" i="14" s="1"/>
  <c r="I6" i="13"/>
  <c r="I7" i="13" s="1"/>
  <c r="L31" i="14"/>
  <c r="L31" i="13"/>
  <c r="L41" i="16"/>
  <c r="L33" i="18" s="1"/>
  <c r="L58" i="14"/>
  <c r="L64" i="14" s="1"/>
  <c r="L47" i="16"/>
  <c r="M39" i="16"/>
  <c r="K3" i="13"/>
  <c r="K3" i="14"/>
  <c r="I51" i="16"/>
  <c r="E55" i="16"/>
  <c r="F61" i="14"/>
  <c r="F67" i="14" s="1"/>
  <c r="F66" i="14"/>
  <c r="L4" i="14"/>
  <c r="L4" i="13"/>
  <c r="E52" i="16"/>
  <c r="H6" i="14"/>
  <c r="H7" i="14" s="1"/>
  <c r="H60" i="14" s="1"/>
  <c r="H6" i="13"/>
  <c r="H7" i="13" s="1"/>
  <c r="H51" i="16"/>
  <c r="H44" i="16"/>
  <c r="F55" i="16"/>
  <c r="F52" i="16"/>
  <c r="N40" i="16" l="1"/>
  <c r="N32" i="18" s="1"/>
  <c r="N69" i="18" s="1"/>
  <c r="G68" i="14"/>
  <c r="G71" i="14" s="1"/>
  <c r="G72" i="14" s="1"/>
  <c r="M32" i="13"/>
  <c r="M32" i="14"/>
  <c r="E110" i="18"/>
  <c r="M48" i="16"/>
  <c r="M4" i="18" s="1"/>
  <c r="J7" i="18"/>
  <c r="E78" i="18"/>
  <c r="M69" i="18"/>
  <c r="M59" i="18"/>
  <c r="N59" i="18"/>
  <c r="L69" i="18"/>
  <c r="L59" i="18"/>
  <c r="K105" i="18"/>
  <c r="K75" i="18"/>
  <c r="L57" i="16"/>
  <c r="L61" i="16" s="1"/>
  <c r="L3" i="18"/>
  <c r="L104" i="18"/>
  <c r="L74" i="18"/>
  <c r="E111" i="18"/>
  <c r="E108" i="18"/>
  <c r="F108" i="18"/>
  <c r="F110" i="18"/>
  <c r="F111" i="18"/>
  <c r="M41" i="16"/>
  <c r="M33" i="18" s="1"/>
  <c r="M31" i="18"/>
  <c r="M59" i="14"/>
  <c r="M65" i="14" s="1"/>
  <c r="F78" i="18"/>
  <c r="G67" i="16"/>
  <c r="G66" i="16"/>
  <c r="G115" i="13" s="1"/>
  <c r="F68" i="14"/>
  <c r="F71" i="14" s="1"/>
  <c r="F95" i="13"/>
  <c r="F101" i="13" s="1"/>
  <c r="F100" i="13"/>
  <c r="F93" i="13"/>
  <c r="G78" i="13"/>
  <c r="G37" i="13" s="1"/>
  <c r="G43" i="13" s="1"/>
  <c r="G72" i="13" s="1"/>
  <c r="E95" i="13"/>
  <c r="E101" i="13" s="1"/>
  <c r="E93" i="13"/>
  <c r="E94" i="13"/>
  <c r="E100" i="13" s="1"/>
  <c r="H78" i="13"/>
  <c r="H37" i="13" s="1"/>
  <c r="H43" i="13" s="1"/>
  <c r="H72" i="13" s="1"/>
  <c r="L41" i="13"/>
  <c r="L70" i="13" s="1"/>
  <c r="M42" i="13"/>
  <c r="M71" i="13" s="1"/>
  <c r="E58" i="16"/>
  <c r="E63" i="16" s="1"/>
  <c r="E66" i="16" s="1"/>
  <c r="F58" i="16"/>
  <c r="F63" i="16" s="1"/>
  <c r="F66" i="16" s="1"/>
  <c r="J51" i="16"/>
  <c r="J6" i="14"/>
  <c r="J7" i="14" s="1"/>
  <c r="J60" i="14" s="1"/>
  <c r="J6" i="13"/>
  <c r="J7" i="13" s="1"/>
  <c r="L42" i="16"/>
  <c r="L34" i="18" s="1"/>
  <c r="L33" i="13"/>
  <c r="L33" i="14"/>
  <c r="L49" i="16"/>
  <c r="L5" i="18" s="1"/>
  <c r="I61" i="14"/>
  <c r="I67" i="14" s="1"/>
  <c r="I66" i="14"/>
  <c r="K34" i="13"/>
  <c r="K50" i="16"/>
  <c r="K34" i="14"/>
  <c r="I55" i="16"/>
  <c r="I52" i="16"/>
  <c r="K43" i="16"/>
  <c r="K5" i="14"/>
  <c r="K5" i="13"/>
  <c r="N39" i="16"/>
  <c r="N31" i="18" s="1"/>
  <c r="M58" i="14"/>
  <c r="M64" i="14" s="1"/>
  <c r="M31" i="13"/>
  <c r="M47" i="16"/>
  <c r="M31" i="14"/>
  <c r="L3" i="13"/>
  <c r="L3" i="14"/>
  <c r="H55" i="16"/>
  <c r="H61" i="14"/>
  <c r="H67" i="14" s="1"/>
  <c r="H66" i="14"/>
  <c r="M4" i="13"/>
  <c r="N32" i="13"/>
  <c r="N32" i="14"/>
  <c r="O40" i="16"/>
  <c r="O32" i="18" s="1"/>
  <c r="N59" i="14"/>
  <c r="N65" i="14" s="1"/>
  <c r="N48" i="16"/>
  <c r="N4" i="18" s="1"/>
  <c r="H52" i="16"/>
  <c r="M4" i="14" l="1"/>
  <c r="J60" i="18"/>
  <c r="J61" i="18" s="1"/>
  <c r="M42" i="16"/>
  <c r="M34" i="18" s="1"/>
  <c r="E115" i="13"/>
  <c r="M49" i="16"/>
  <c r="M5" i="18" s="1"/>
  <c r="M33" i="14"/>
  <c r="M33" i="13"/>
  <c r="E129" i="18"/>
  <c r="E135" i="18" s="1"/>
  <c r="E127" i="18"/>
  <c r="G112" i="18"/>
  <c r="E128" i="18"/>
  <c r="E134" i="18" s="1"/>
  <c r="O69" i="18"/>
  <c r="O59" i="18"/>
  <c r="M57" i="16"/>
  <c r="M61" i="16" s="1"/>
  <c r="M3" i="18"/>
  <c r="M75" i="18"/>
  <c r="M105" i="18"/>
  <c r="G96" i="14"/>
  <c r="G172" i="18"/>
  <c r="F128" i="18"/>
  <c r="F134" i="18" s="1"/>
  <c r="F127" i="18"/>
  <c r="F129" i="18"/>
  <c r="F135" i="18" s="1"/>
  <c r="H112" i="18"/>
  <c r="F115" i="13"/>
  <c r="F149" i="18"/>
  <c r="G77" i="14"/>
  <c r="G149" i="18"/>
  <c r="N105" i="18"/>
  <c r="N75" i="18"/>
  <c r="K51" i="16"/>
  <c r="K55" i="16" s="1"/>
  <c r="K6" i="18"/>
  <c r="K7" i="18" s="1"/>
  <c r="K60" i="18" s="1"/>
  <c r="M68" i="18"/>
  <c r="M58" i="18"/>
  <c r="N68" i="18"/>
  <c r="N58" i="18"/>
  <c r="J61" i="14"/>
  <c r="J67" i="14" s="1"/>
  <c r="L75" i="18"/>
  <c r="L105" i="18"/>
  <c r="H38" i="13"/>
  <c r="H44" i="13" s="1"/>
  <c r="H73" i="13" s="1"/>
  <c r="H76" i="13" s="1"/>
  <c r="F72" i="14"/>
  <c r="G138" i="13"/>
  <c r="F67" i="16"/>
  <c r="F172" i="18" s="1"/>
  <c r="F107" i="13"/>
  <c r="F148" i="13" s="1"/>
  <c r="F149" i="13" s="1"/>
  <c r="E107" i="13"/>
  <c r="E148" i="13" s="1"/>
  <c r="E149" i="13" s="1"/>
  <c r="G95" i="14"/>
  <c r="G104" i="14"/>
  <c r="G76" i="14"/>
  <c r="E106" i="13"/>
  <c r="E125" i="13" s="1"/>
  <c r="E126" i="13" s="1"/>
  <c r="E96" i="13"/>
  <c r="E99" i="13"/>
  <c r="G38" i="13"/>
  <c r="G44" i="13" s="1"/>
  <c r="G73" i="13" s="1"/>
  <c r="G77" i="13" s="1"/>
  <c r="M41" i="13"/>
  <c r="M70" i="13" s="1"/>
  <c r="N42" i="13"/>
  <c r="N71" i="13" s="1"/>
  <c r="E67" i="16"/>
  <c r="E172" i="18" s="1"/>
  <c r="J52" i="16"/>
  <c r="H58" i="16"/>
  <c r="H63" i="16" s="1"/>
  <c r="H66" i="16" s="1"/>
  <c r="H149" i="18" s="1"/>
  <c r="J55" i="16"/>
  <c r="I58" i="16"/>
  <c r="I63" i="16" s="1"/>
  <c r="I66" i="16" s="1"/>
  <c r="F77" i="14"/>
  <c r="I68" i="14"/>
  <c r="L5" i="13"/>
  <c r="L5" i="14"/>
  <c r="K44" i="16"/>
  <c r="L34" i="14"/>
  <c r="L34" i="13"/>
  <c r="L50" i="16"/>
  <c r="L43" i="16"/>
  <c r="K6" i="13"/>
  <c r="K6" i="14"/>
  <c r="K7" i="14" s="1"/>
  <c r="K60" i="14" s="1"/>
  <c r="M3" i="13"/>
  <c r="M3" i="14"/>
  <c r="N31" i="14"/>
  <c r="N31" i="13"/>
  <c r="O39" i="16"/>
  <c r="O31" i="18" s="1"/>
  <c r="N47" i="16"/>
  <c r="N58" i="14"/>
  <c r="N64" i="14" s="1"/>
  <c r="N41" i="16"/>
  <c r="N33" i="18" s="1"/>
  <c r="N4" i="13"/>
  <c r="N4" i="14"/>
  <c r="M34" i="14"/>
  <c r="H68" i="14"/>
  <c r="F96" i="13"/>
  <c r="F99" i="13"/>
  <c r="F106" i="13"/>
  <c r="F125" i="13" s="1"/>
  <c r="O32" i="14"/>
  <c r="O59" i="14"/>
  <c r="O65" i="14" s="1"/>
  <c r="P40" i="16"/>
  <c r="P32" i="18" s="1"/>
  <c r="O32" i="13"/>
  <c r="O48" i="16"/>
  <c r="O4" i="18" s="1"/>
  <c r="H74" i="13" l="1"/>
  <c r="M34" i="13"/>
  <c r="M50" i="16"/>
  <c r="M6" i="18" s="1"/>
  <c r="M7" i="18" s="1"/>
  <c r="M43" i="16"/>
  <c r="M44" i="16" s="1"/>
  <c r="E77" i="14"/>
  <c r="E149" i="18"/>
  <c r="F95" i="14"/>
  <c r="F107" i="14" s="1"/>
  <c r="F109" i="14" s="1"/>
  <c r="F76" i="14"/>
  <c r="F78" i="14" s="1"/>
  <c r="H77" i="13"/>
  <c r="J78" i="13" s="1"/>
  <c r="J37" i="13" s="1"/>
  <c r="J43" i="13" s="1"/>
  <c r="J72" i="13" s="1"/>
  <c r="M5" i="13"/>
  <c r="M5" i="14"/>
  <c r="G78" i="14"/>
  <c r="J66" i="14"/>
  <c r="J68" i="14" s="1"/>
  <c r="J71" i="14" s="1"/>
  <c r="J72" i="14" s="1"/>
  <c r="K52" i="16"/>
  <c r="E141" i="18"/>
  <c r="E182" i="18" s="1"/>
  <c r="E183" i="18" s="1"/>
  <c r="P69" i="18"/>
  <c r="P59" i="18"/>
  <c r="E133" i="18"/>
  <c r="E130" i="18"/>
  <c r="G74" i="13"/>
  <c r="L51" i="16"/>
  <c r="L55" i="16" s="1"/>
  <c r="L6" i="18"/>
  <c r="L7" i="18" s="1"/>
  <c r="N57" i="16"/>
  <c r="N61" i="16" s="1"/>
  <c r="N3" i="18"/>
  <c r="K61" i="18"/>
  <c r="G64" i="18"/>
  <c r="G70" i="18" s="1"/>
  <c r="G65" i="18"/>
  <c r="G71" i="18" s="1"/>
  <c r="M104" i="18"/>
  <c r="M74" i="18"/>
  <c r="E140" i="18"/>
  <c r="E159" i="18" s="1"/>
  <c r="E160" i="18" s="1"/>
  <c r="O68" i="18"/>
  <c r="O58" i="18"/>
  <c r="F140" i="18"/>
  <c r="F159" i="18" s="1"/>
  <c r="F160" i="18" s="1"/>
  <c r="O75" i="18"/>
  <c r="O105" i="18"/>
  <c r="H65" i="18"/>
  <c r="H71" i="18" s="1"/>
  <c r="H64" i="18"/>
  <c r="H70" i="18" s="1"/>
  <c r="N104" i="18"/>
  <c r="N74" i="18"/>
  <c r="F133" i="18"/>
  <c r="F130" i="18"/>
  <c r="I77" i="14"/>
  <c r="I149" i="18"/>
  <c r="F141" i="18"/>
  <c r="F182" i="18" s="1"/>
  <c r="F183" i="18" s="1"/>
  <c r="G76" i="13"/>
  <c r="F104" i="14"/>
  <c r="E112" i="13"/>
  <c r="E139" i="13" s="1"/>
  <c r="G85" i="14"/>
  <c r="G87" i="14" s="1"/>
  <c r="E138" i="13"/>
  <c r="E96" i="14"/>
  <c r="I67" i="16"/>
  <c r="I172" i="18" s="1"/>
  <c r="F112" i="13"/>
  <c r="F139" i="13" s="1"/>
  <c r="F96" i="14"/>
  <c r="F138" i="13"/>
  <c r="I71" i="14"/>
  <c r="I72" i="14" s="1"/>
  <c r="H71" i="14"/>
  <c r="H72" i="14" s="1"/>
  <c r="H95" i="14" s="1"/>
  <c r="G97" i="14"/>
  <c r="G107" i="14"/>
  <c r="G109" i="14" s="1"/>
  <c r="E102" i="13"/>
  <c r="E105" i="13"/>
  <c r="E108" i="13" s="1"/>
  <c r="E111" i="13"/>
  <c r="E116" i="13" s="1"/>
  <c r="E117" i="13" s="1"/>
  <c r="I78" i="13"/>
  <c r="I37" i="13" s="1"/>
  <c r="I43" i="13" s="1"/>
  <c r="I72" i="13" s="1"/>
  <c r="G94" i="13"/>
  <c r="G100" i="13" s="1"/>
  <c r="G95" i="13"/>
  <c r="G101" i="13" s="1"/>
  <c r="G93" i="13"/>
  <c r="O42" i="13"/>
  <c r="O71" i="13" s="1"/>
  <c r="N41" i="13"/>
  <c r="N70" i="13" s="1"/>
  <c r="K7" i="13"/>
  <c r="H115" i="13"/>
  <c r="H77" i="14"/>
  <c r="H67" i="16"/>
  <c r="H172" i="18" s="1"/>
  <c r="J58" i="16"/>
  <c r="J63" i="16" s="1"/>
  <c r="K58" i="16"/>
  <c r="K63" i="16" s="1"/>
  <c r="K66" i="16" s="1"/>
  <c r="K149" i="18" s="1"/>
  <c r="I115" i="13"/>
  <c r="L44" i="16"/>
  <c r="N3" i="14"/>
  <c r="N3" i="13"/>
  <c r="N33" i="14"/>
  <c r="N49" i="16"/>
  <c r="N5" i="18" s="1"/>
  <c r="N33" i="13"/>
  <c r="N42" i="16"/>
  <c r="L6" i="13"/>
  <c r="L7" i="13" s="1"/>
  <c r="L6" i="14"/>
  <c r="L7" i="14" s="1"/>
  <c r="L60" i="14" s="1"/>
  <c r="P39" i="16"/>
  <c r="P31" i="18" s="1"/>
  <c r="O47" i="16"/>
  <c r="O41" i="16"/>
  <c r="O33" i="18" s="1"/>
  <c r="O31" i="14"/>
  <c r="O58" i="14"/>
  <c r="O64" i="14" s="1"/>
  <c r="O31" i="13"/>
  <c r="F111" i="13"/>
  <c r="F116" i="13" s="1"/>
  <c r="F117" i="13" s="1"/>
  <c r="K66" i="14"/>
  <c r="K61" i="14"/>
  <c r="K67" i="14" s="1"/>
  <c r="P59" i="14"/>
  <c r="P65" i="14" s="1"/>
  <c r="P32" i="14"/>
  <c r="Q40" i="16"/>
  <c r="Q32" i="18" s="1"/>
  <c r="P32" i="13"/>
  <c r="P48" i="16"/>
  <c r="P4" i="18" s="1"/>
  <c r="M6" i="14"/>
  <c r="O4" i="14"/>
  <c r="O4" i="13"/>
  <c r="F126" i="13"/>
  <c r="F105" i="13"/>
  <c r="F108" i="13" s="1"/>
  <c r="F102" i="13"/>
  <c r="M51" i="16"/>
  <c r="H95" i="13" l="1"/>
  <c r="H101" i="13" s="1"/>
  <c r="M6" i="13"/>
  <c r="F97" i="14"/>
  <c r="M60" i="18"/>
  <c r="M61" i="18" s="1"/>
  <c r="L60" i="18"/>
  <c r="L61" i="18" s="1"/>
  <c r="H94" i="13"/>
  <c r="H100" i="13" s="1"/>
  <c r="H106" i="13" s="1"/>
  <c r="H125" i="13" s="1"/>
  <c r="H126" i="13" s="1"/>
  <c r="H93" i="13"/>
  <c r="H99" i="13" s="1"/>
  <c r="H105" i="13" s="1"/>
  <c r="F85" i="14"/>
  <c r="F87" i="14" s="1"/>
  <c r="M7" i="13"/>
  <c r="M7" i="14"/>
  <c r="L52" i="16"/>
  <c r="F139" i="18"/>
  <c r="F142" i="18" s="1"/>
  <c r="F136" i="18"/>
  <c r="P68" i="18"/>
  <c r="P58" i="18"/>
  <c r="E146" i="18"/>
  <c r="E173" i="18" s="1"/>
  <c r="E174" i="18" s="1"/>
  <c r="O57" i="16"/>
  <c r="O61" i="16" s="1"/>
  <c r="O3" i="18"/>
  <c r="P75" i="18"/>
  <c r="P105" i="18"/>
  <c r="E145" i="18"/>
  <c r="E150" i="18" s="1"/>
  <c r="E151" i="18" s="1"/>
  <c r="H77" i="18"/>
  <c r="H107" i="18"/>
  <c r="H76" i="18"/>
  <c r="H106" i="18"/>
  <c r="O104" i="18"/>
  <c r="O74" i="18"/>
  <c r="E139" i="18"/>
  <c r="E142" i="18" s="1"/>
  <c r="E136" i="18"/>
  <c r="F146" i="18"/>
  <c r="F173" i="18" s="1"/>
  <c r="F174" i="18" s="1"/>
  <c r="Q69" i="18"/>
  <c r="Q59" i="18"/>
  <c r="N43" i="16"/>
  <c r="N44" i="16" s="1"/>
  <c r="N34" i="18"/>
  <c r="G76" i="18"/>
  <c r="G106" i="18"/>
  <c r="G77" i="18"/>
  <c r="G107" i="18"/>
  <c r="F145" i="18"/>
  <c r="F150" i="18" s="1"/>
  <c r="F151" i="18" s="1"/>
  <c r="E140" i="13"/>
  <c r="E157" i="13"/>
  <c r="E158" i="13" s="1"/>
  <c r="F157" i="13"/>
  <c r="F158" i="13" s="1"/>
  <c r="H107" i="13"/>
  <c r="H148" i="13" s="1"/>
  <c r="H149" i="13" s="1"/>
  <c r="G122" i="14"/>
  <c r="G123" i="14" s="1"/>
  <c r="F140" i="13"/>
  <c r="G117" i="14"/>
  <c r="G118" i="14" s="1"/>
  <c r="I96" i="14"/>
  <c r="I138" i="13"/>
  <c r="G107" i="13"/>
  <c r="G148" i="13" s="1"/>
  <c r="G149" i="13" s="1"/>
  <c r="H96" i="14"/>
  <c r="H97" i="14" s="1"/>
  <c r="H138" i="13"/>
  <c r="I76" i="14"/>
  <c r="I95" i="14"/>
  <c r="I104" i="14"/>
  <c r="J104" i="14"/>
  <c r="J76" i="14"/>
  <c r="J85" i="14" s="1"/>
  <c r="J95" i="14"/>
  <c r="J107" i="14" s="1"/>
  <c r="J109" i="14" s="1"/>
  <c r="H76" i="14"/>
  <c r="H85" i="14" s="1"/>
  <c r="H87" i="14" s="1"/>
  <c r="H104" i="14"/>
  <c r="H107" i="14"/>
  <c r="H109" i="14" s="1"/>
  <c r="I38" i="13"/>
  <c r="I44" i="13" s="1"/>
  <c r="I73" i="13" s="1"/>
  <c r="I77" i="13" s="1"/>
  <c r="J38" i="13"/>
  <c r="J44" i="13" s="1"/>
  <c r="J73" i="13" s="1"/>
  <c r="J76" i="13" s="1"/>
  <c r="H96" i="13"/>
  <c r="E134" i="13"/>
  <c r="E135" i="13" s="1"/>
  <c r="G96" i="13"/>
  <c r="G99" i="13"/>
  <c r="G106" i="13"/>
  <c r="G125" i="13" s="1"/>
  <c r="G126" i="13" s="1"/>
  <c r="P42" i="13"/>
  <c r="P71" i="13" s="1"/>
  <c r="O41" i="13"/>
  <c r="O70" i="13" s="1"/>
  <c r="K67" i="16"/>
  <c r="K172" i="18" s="1"/>
  <c r="L58" i="16"/>
  <c r="L63" i="16" s="1"/>
  <c r="L67" i="16" s="1"/>
  <c r="L172" i="18" s="1"/>
  <c r="J66" i="16"/>
  <c r="J149" i="18" s="1"/>
  <c r="J67" i="16"/>
  <c r="J172" i="18" s="1"/>
  <c r="F134" i="13"/>
  <c r="F135" i="13" s="1"/>
  <c r="N5" i="14"/>
  <c r="N5" i="13"/>
  <c r="P31" i="13"/>
  <c r="P58" i="14"/>
  <c r="P64" i="14" s="1"/>
  <c r="P31" i="14"/>
  <c r="Q39" i="16"/>
  <c r="Q31" i="18" s="1"/>
  <c r="P47" i="16"/>
  <c r="O49" i="16"/>
  <c r="O5" i="18" s="1"/>
  <c r="O33" i="14"/>
  <c r="O42" i="16"/>
  <c r="O34" i="18" s="1"/>
  <c r="O33" i="13"/>
  <c r="K77" i="14"/>
  <c r="K115" i="13"/>
  <c r="K68" i="14"/>
  <c r="N34" i="13"/>
  <c r="N34" i="14"/>
  <c r="N50" i="16"/>
  <c r="N6" i="18" s="1"/>
  <c r="N7" i="18" s="1"/>
  <c r="O3" i="13"/>
  <c r="O3" i="14"/>
  <c r="L61" i="14"/>
  <c r="L67" i="14" s="1"/>
  <c r="L66" i="14"/>
  <c r="P41" i="16"/>
  <c r="Q59" i="14"/>
  <c r="Q65" i="14" s="1"/>
  <c r="Q32" i="14"/>
  <c r="Q32" i="13"/>
  <c r="Q48" i="16"/>
  <c r="Q4" i="18" s="1"/>
  <c r="P4" i="13"/>
  <c r="P4" i="14"/>
  <c r="M55" i="16"/>
  <c r="M52" i="16"/>
  <c r="H111" i="13" l="1"/>
  <c r="H116" i="13" s="1"/>
  <c r="H117" i="13" s="1"/>
  <c r="M60" i="14"/>
  <c r="M61" i="14" s="1"/>
  <c r="M67" i="14" s="1"/>
  <c r="N60" i="18"/>
  <c r="N61" i="18" s="1"/>
  <c r="K96" i="14"/>
  <c r="F122" i="14"/>
  <c r="F123" i="14" s="1"/>
  <c r="F117" i="14"/>
  <c r="F118" i="14" s="1"/>
  <c r="E191" i="18"/>
  <c r="E192" i="18" s="1"/>
  <c r="G78" i="18"/>
  <c r="E168" i="18"/>
  <c r="E169" i="18" s="1"/>
  <c r="F191" i="18"/>
  <c r="F192" i="18" s="1"/>
  <c r="H108" i="13"/>
  <c r="H78" i="18"/>
  <c r="H110" i="18"/>
  <c r="H108" i="18"/>
  <c r="H111" i="18"/>
  <c r="P74" i="18"/>
  <c r="P104" i="18"/>
  <c r="Q105" i="18"/>
  <c r="Q75" i="18"/>
  <c r="Q68" i="18"/>
  <c r="Q58" i="18"/>
  <c r="F168" i="18"/>
  <c r="F169" i="18" s="1"/>
  <c r="P57" i="16"/>
  <c r="P61" i="16" s="1"/>
  <c r="P3" i="18"/>
  <c r="G108" i="18"/>
  <c r="G110" i="18"/>
  <c r="G111" i="18"/>
  <c r="P33" i="14"/>
  <c r="P33" i="18"/>
  <c r="G112" i="13"/>
  <c r="G139" i="13" s="1"/>
  <c r="G140" i="13" s="1"/>
  <c r="H112" i="13"/>
  <c r="H139" i="13" s="1"/>
  <c r="H140" i="13" s="1"/>
  <c r="I76" i="13"/>
  <c r="H78" i="14"/>
  <c r="L66" i="16"/>
  <c r="L149" i="18" s="1"/>
  <c r="J77" i="13"/>
  <c r="J93" i="13" s="1"/>
  <c r="H122" i="14"/>
  <c r="H123" i="14" s="1"/>
  <c r="I107" i="14"/>
  <c r="I109" i="14" s="1"/>
  <c r="I97" i="14"/>
  <c r="K71" i="14"/>
  <c r="K72" i="14" s="1"/>
  <c r="I85" i="14"/>
  <c r="I87" i="14" s="1"/>
  <c r="I78" i="14"/>
  <c r="J74" i="13"/>
  <c r="I74" i="13"/>
  <c r="H102" i="13"/>
  <c r="G111" i="13"/>
  <c r="G116" i="13" s="1"/>
  <c r="G117" i="13" s="1"/>
  <c r="G105" i="13"/>
  <c r="G108" i="13" s="1"/>
  <c r="G102" i="13"/>
  <c r="I93" i="13"/>
  <c r="I99" i="13" s="1"/>
  <c r="I94" i="13"/>
  <c r="I95" i="13"/>
  <c r="I101" i="13" s="1"/>
  <c r="K78" i="13"/>
  <c r="K38" i="13" s="1"/>
  <c r="K44" i="13" s="1"/>
  <c r="K73" i="13" s="1"/>
  <c r="P41" i="13"/>
  <c r="P70" i="13" s="1"/>
  <c r="Q42" i="13"/>
  <c r="Q71" i="13" s="1"/>
  <c r="K138" i="13"/>
  <c r="J96" i="14"/>
  <c r="J97" i="14" s="1"/>
  <c r="J138" i="13"/>
  <c r="J115" i="13"/>
  <c r="J77" i="14"/>
  <c r="J78" i="14" s="1"/>
  <c r="M58" i="16"/>
  <c r="M63" i="16" s="1"/>
  <c r="M67" i="16" s="1"/>
  <c r="M172" i="18" s="1"/>
  <c r="P33" i="13"/>
  <c r="L68" i="14"/>
  <c r="J87" i="14"/>
  <c r="J117" i="14"/>
  <c r="J118" i="14" s="1"/>
  <c r="N6" i="14"/>
  <c r="N7" i="14" s="1"/>
  <c r="N60" i="14" s="1"/>
  <c r="N6" i="13"/>
  <c r="N7" i="13" s="1"/>
  <c r="P49" i="16"/>
  <c r="P42" i="16"/>
  <c r="O5" i="14"/>
  <c r="O5" i="13"/>
  <c r="L96" i="14"/>
  <c r="L138" i="13"/>
  <c r="P3" i="14"/>
  <c r="P3" i="13"/>
  <c r="H117" i="14"/>
  <c r="H118" i="14" s="1"/>
  <c r="O43" i="16"/>
  <c r="O44" i="16" s="1"/>
  <c r="O34" i="13"/>
  <c r="O50" i="16"/>
  <c r="O6" i="18" s="1"/>
  <c r="O7" i="18" s="1"/>
  <c r="O34" i="14"/>
  <c r="Q31" i="13"/>
  <c r="Q41" i="16"/>
  <c r="Q33" i="18" s="1"/>
  <c r="Q58" i="14"/>
  <c r="Q64" i="14" s="1"/>
  <c r="Q31" i="14"/>
  <c r="Q47" i="16"/>
  <c r="N51" i="16"/>
  <c r="J122" i="14"/>
  <c r="J123" i="14" s="1"/>
  <c r="Q4" i="13"/>
  <c r="Q4" i="14"/>
  <c r="M66" i="14" l="1"/>
  <c r="M68" i="14" s="1"/>
  <c r="M71" i="14" s="1"/>
  <c r="M72" i="14" s="1"/>
  <c r="M76" i="14" s="1"/>
  <c r="M85" i="14" s="1"/>
  <c r="M87" i="14" s="1"/>
  <c r="O60" i="18"/>
  <c r="O61" i="18" s="1"/>
  <c r="H157" i="13"/>
  <c r="H158" i="13" s="1"/>
  <c r="L115" i="13"/>
  <c r="L77" i="14"/>
  <c r="Q104" i="18"/>
  <c r="Q74" i="18"/>
  <c r="H127" i="18"/>
  <c r="H128" i="18"/>
  <c r="H134" i="18" s="1"/>
  <c r="J112" i="18"/>
  <c r="H129" i="18"/>
  <c r="H135" i="18" s="1"/>
  <c r="Q57" i="16"/>
  <c r="Q61" i="16" s="1"/>
  <c r="Q3" i="18"/>
  <c r="P5" i="13"/>
  <c r="P5" i="18"/>
  <c r="P43" i="16"/>
  <c r="P44" i="16" s="1"/>
  <c r="P34" i="18"/>
  <c r="G129" i="18"/>
  <c r="G135" i="18" s="1"/>
  <c r="G128" i="18"/>
  <c r="G134" i="18" s="1"/>
  <c r="G127" i="18"/>
  <c r="I112" i="18"/>
  <c r="K104" i="14"/>
  <c r="K76" i="14"/>
  <c r="K78" i="14" s="1"/>
  <c r="K37" i="13"/>
  <c r="K43" i="13" s="1"/>
  <c r="K72" i="13" s="1"/>
  <c r="K76" i="13" s="1"/>
  <c r="J95" i="13"/>
  <c r="J101" i="13" s="1"/>
  <c r="J107" i="13" s="1"/>
  <c r="J148" i="13" s="1"/>
  <c r="J149" i="13" s="1"/>
  <c r="H134" i="13"/>
  <c r="H135" i="13" s="1"/>
  <c r="L78" i="13"/>
  <c r="L38" i="13" s="1"/>
  <c r="L44" i="13" s="1"/>
  <c r="L73" i="13" s="1"/>
  <c r="J94" i="13"/>
  <c r="J100" i="13" s="1"/>
  <c r="J106" i="13" s="1"/>
  <c r="J125" i="13" s="1"/>
  <c r="J126" i="13" s="1"/>
  <c r="I107" i="13"/>
  <c r="I148" i="13" s="1"/>
  <c r="I149" i="13" s="1"/>
  <c r="G157" i="13"/>
  <c r="G158" i="13" s="1"/>
  <c r="I122" i="14"/>
  <c r="I123" i="14" s="1"/>
  <c r="K95" i="14"/>
  <c r="K97" i="14" s="1"/>
  <c r="L71" i="14"/>
  <c r="L72" i="14" s="1"/>
  <c r="I117" i="14"/>
  <c r="I118" i="14" s="1"/>
  <c r="G134" i="13"/>
  <c r="G135" i="13" s="1"/>
  <c r="J99" i="13"/>
  <c r="I96" i="13"/>
  <c r="I100" i="13"/>
  <c r="I102" i="13" s="1"/>
  <c r="I105" i="13"/>
  <c r="Q41" i="13"/>
  <c r="Q70" i="13" s="1"/>
  <c r="M66" i="16"/>
  <c r="M115" i="13" s="1"/>
  <c r="P50" i="16"/>
  <c r="P34" i="14"/>
  <c r="P5" i="14"/>
  <c r="P34" i="13"/>
  <c r="N61" i="14"/>
  <c r="N67" i="14" s="1"/>
  <c r="N66" i="14"/>
  <c r="Q3" i="14"/>
  <c r="Q3" i="13"/>
  <c r="O6" i="13"/>
  <c r="O7" i="13" s="1"/>
  <c r="O6" i="14"/>
  <c r="O7" i="14" s="1"/>
  <c r="O60" i="14" s="1"/>
  <c r="O51" i="16"/>
  <c r="O52" i="16" s="1"/>
  <c r="N55" i="16"/>
  <c r="N52" i="16"/>
  <c r="Q33" i="13"/>
  <c r="Q42" i="16"/>
  <c r="Q34" i="18" s="1"/>
  <c r="Q33" i="14"/>
  <c r="Q49" i="16"/>
  <c r="Q5" i="18" s="1"/>
  <c r="M96" i="14"/>
  <c r="M138" i="13"/>
  <c r="M95" i="14" l="1"/>
  <c r="M107" i="14" s="1"/>
  <c r="M109" i="14" s="1"/>
  <c r="M104" i="14"/>
  <c r="I65" i="18"/>
  <c r="I71" i="18" s="1"/>
  <c r="I64" i="18"/>
  <c r="I70" i="18" s="1"/>
  <c r="H133" i="18"/>
  <c r="H130" i="18"/>
  <c r="H140" i="18"/>
  <c r="H159" i="18" s="1"/>
  <c r="H160" i="18" s="1"/>
  <c r="J65" i="18"/>
  <c r="J71" i="18" s="1"/>
  <c r="J64" i="18"/>
  <c r="J70" i="18" s="1"/>
  <c r="P51" i="16"/>
  <c r="P52" i="16" s="1"/>
  <c r="P6" i="18"/>
  <c r="P7" i="18" s="1"/>
  <c r="G141" i="18"/>
  <c r="G182" i="18" s="1"/>
  <c r="G183" i="18" s="1"/>
  <c r="H141" i="18"/>
  <c r="H182" i="18" s="1"/>
  <c r="H183" i="18" s="1"/>
  <c r="G140" i="18"/>
  <c r="G159" i="18" s="1"/>
  <c r="G160" i="18" s="1"/>
  <c r="M77" i="14"/>
  <c r="M78" i="14" s="1"/>
  <c r="M149" i="18"/>
  <c r="G133" i="18"/>
  <c r="G130" i="18"/>
  <c r="K85" i="14"/>
  <c r="K87" i="14" s="1"/>
  <c r="K74" i="13"/>
  <c r="K77" i="13"/>
  <c r="K93" i="13" s="1"/>
  <c r="K99" i="13" s="1"/>
  <c r="J96" i="13"/>
  <c r="I112" i="13"/>
  <c r="I139" i="13" s="1"/>
  <c r="I140" i="13" s="1"/>
  <c r="L37" i="13"/>
  <c r="L43" i="13" s="1"/>
  <c r="L72" i="13" s="1"/>
  <c r="L76" i="13" s="1"/>
  <c r="J112" i="13"/>
  <c r="J139" i="13" s="1"/>
  <c r="J140" i="13" s="1"/>
  <c r="L76" i="14"/>
  <c r="L95" i="14"/>
  <c r="L97" i="14" s="1"/>
  <c r="L104" i="14"/>
  <c r="K107" i="14"/>
  <c r="K109" i="14" s="1"/>
  <c r="J111" i="13"/>
  <c r="J116" i="13" s="1"/>
  <c r="J117" i="13" s="1"/>
  <c r="I106" i="13"/>
  <c r="I125" i="13" s="1"/>
  <c r="I126" i="13" s="1"/>
  <c r="J102" i="13"/>
  <c r="J105" i="13"/>
  <c r="J108" i="13" s="1"/>
  <c r="N58" i="16"/>
  <c r="N63" i="16" s="1"/>
  <c r="N66" i="16" s="1"/>
  <c r="N149" i="18" s="1"/>
  <c r="N68" i="14"/>
  <c r="P6" i="14"/>
  <c r="P7" i="14" s="1"/>
  <c r="P60" i="14" s="1"/>
  <c r="P6" i="13"/>
  <c r="P7" i="13" s="1"/>
  <c r="Q5" i="13"/>
  <c r="Q5" i="14"/>
  <c r="Q34" i="13"/>
  <c r="Q34" i="14"/>
  <c r="Q50" i="16"/>
  <c r="Q6" i="18" s="1"/>
  <c r="Q7" i="18" s="1"/>
  <c r="Q43" i="16"/>
  <c r="O55" i="16"/>
  <c r="O61" i="14"/>
  <c r="O67" i="14" s="1"/>
  <c r="O66" i="14"/>
  <c r="M122" i="14"/>
  <c r="M123" i="14" s="1"/>
  <c r="M97" i="14"/>
  <c r="M117" i="14" l="1"/>
  <c r="M118" i="14" s="1"/>
  <c r="P60" i="18"/>
  <c r="P61" i="18" s="1"/>
  <c r="Q60" i="18"/>
  <c r="Q61" i="18" s="1"/>
  <c r="L107" i="14"/>
  <c r="L109" i="14" s="1"/>
  <c r="H146" i="18"/>
  <c r="H173" i="18" s="1"/>
  <c r="H174" i="18" s="1"/>
  <c r="P55" i="16"/>
  <c r="P58" i="16" s="1"/>
  <c r="P63" i="16" s="1"/>
  <c r="P66" i="16" s="1"/>
  <c r="P149" i="18" s="1"/>
  <c r="J107" i="18"/>
  <c r="J77" i="18"/>
  <c r="J76" i="18"/>
  <c r="J106" i="18"/>
  <c r="I77" i="18"/>
  <c r="I107" i="18"/>
  <c r="I106" i="18"/>
  <c r="I76" i="18"/>
  <c r="H136" i="18"/>
  <c r="H139" i="18"/>
  <c r="H142" i="18" s="1"/>
  <c r="G145" i="18"/>
  <c r="G150" i="18" s="1"/>
  <c r="G151" i="18" s="1"/>
  <c r="G146" i="18"/>
  <c r="G173" i="18" s="1"/>
  <c r="G174" i="18" s="1"/>
  <c r="H145" i="18"/>
  <c r="H150" i="18" s="1"/>
  <c r="H151" i="18" s="1"/>
  <c r="P61" i="14"/>
  <c r="P67" i="14" s="1"/>
  <c r="G139" i="18"/>
  <c r="G142" i="18" s="1"/>
  <c r="G136" i="18"/>
  <c r="K117" i="14"/>
  <c r="K118" i="14" s="1"/>
  <c r="K122" i="14"/>
  <c r="K123" i="14" s="1"/>
  <c r="K94" i="13"/>
  <c r="K100" i="13" s="1"/>
  <c r="K106" i="13" s="1"/>
  <c r="K125" i="13" s="1"/>
  <c r="K126" i="13" s="1"/>
  <c r="M78" i="13"/>
  <c r="M37" i="13" s="1"/>
  <c r="M43" i="13" s="1"/>
  <c r="M72" i="13" s="1"/>
  <c r="K95" i="13"/>
  <c r="K101" i="13" s="1"/>
  <c r="K107" i="13" s="1"/>
  <c r="K148" i="13" s="1"/>
  <c r="K149" i="13" s="1"/>
  <c r="L74" i="13"/>
  <c r="L77" i="13"/>
  <c r="N78" i="13" s="1"/>
  <c r="N71" i="14"/>
  <c r="N72" i="14" s="1"/>
  <c r="L85" i="14"/>
  <c r="L87" i="14" s="1"/>
  <c r="L78" i="14"/>
  <c r="I108" i="13"/>
  <c r="J134" i="13"/>
  <c r="J135" i="13" s="1"/>
  <c r="I111" i="13"/>
  <c r="I116" i="13" s="1"/>
  <c r="I117" i="13" s="1"/>
  <c r="J157" i="13"/>
  <c r="J158" i="13" s="1"/>
  <c r="K105" i="13"/>
  <c r="N67" i="16"/>
  <c r="N138" i="13" s="1"/>
  <c r="O58" i="16"/>
  <c r="O63" i="16" s="1"/>
  <c r="O66" i="16" s="1"/>
  <c r="O149" i="18" s="1"/>
  <c r="Q44" i="16"/>
  <c r="N115" i="13"/>
  <c r="N77" i="14"/>
  <c r="Q6" i="13"/>
  <c r="Q7" i="13" s="1"/>
  <c r="Q6" i="14"/>
  <c r="Q7" i="14" s="1"/>
  <c r="Q60" i="14" s="1"/>
  <c r="O68" i="14"/>
  <c r="Q51" i="16"/>
  <c r="Q52" i="16" s="1"/>
  <c r="G168" i="18" l="1"/>
  <c r="G169" i="18" s="1"/>
  <c r="P66" i="14"/>
  <c r="P68" i="14" s="1"/>
  <c r="P71" i="14" s="1"/>
  <c r="P72" i="14" s="1"/>
  <c r="P95" i="14" s="1"/>
  <c r="G191" i="18"/>
  <c r="G192" i="18" s="1"/>
  <c r="H191" i="18"/>
  <c r="H192" i="18" s="1"/>
  <c r="L117" i="14"/>
  <c r="L118" i="14" s="1"/>
  <c r="I78" i="18"/>
  <c r="L122" i="14"/>
  <c r="L123" i="14" s="1"/>
  <c r="J78" i="18"/>
  <c r="J110" i="18"/>
  <c r="J111" i="18"/>
  <c r="J108" i="18"/>
  <c r="H168" i="18"/>
  <c r="H169" i="18" s="1"/>
  <c r="O67" i="16"/>
  <c r="O172" i="18" s="1"/>
  <c r="N96" i="14"/>
  <c r="N172" i="18"/>
  <c r="I110" i="18"/>
  <c r="I108" i="18"/>
  <c r="I111" i="18"/>
  <c r="K108" i="13"/>
  <c r="K111" i="13"/>
  <c r="K116" i="13" s="1"/>
  <c r="K117" i="13" s="1"/>
  <c r="K96" i="13"/>
  <c r="K102" i="13"/>
  <c r="K112" i="13"/>
  <c r="K139" i="13" s="1"/>
  <c r="K140" i="13" s="1"/>
  <c r="M38" i="13"/>
  <c r="M44" i="13" s="1"/>
  <c r="M73" i="13" s="1"/>
  <c r="M77" i="13" s="1"/>
  <c r="M93" i="13" s="1"/>
  <c r="L94" i="13"/>
  <c r="L100" i="13" s="1"/>
  <c r="L93" i="13"/>
  <c r="L99" i="13" s="1"/>
  <c r="L105" i="13" s="1"/>
  <c r="L95" i="13"/>
  <c r="L101" i="13" s="1"/>
  <c r="L107" i="13" s="1"/>
  <c r="P115" i="13"/>
  <c r="I134" i="13"/>
  <c r="I135" i="13" s="1"/>
  <c r="I157" i="13"/>
  <c r="I158" i="13" s="1"/>
  <c r="N95" i="14"/>
  <c r="N107" i="14" s="1"/>
  <c r="N109" i="14" s="1"/>
  <c r="N104" i="14"/>
  <c r="N76" i="14"/>
  <c r="N85" i="14" s="1"/>
  <c r="N87" i="14" s="1"/>
  <c r="O71" i="14"/>
  <c r="O72" i="14" s="1"/>
  <c r="N38" i="13"/>
  <c r="N44" i="13" s="1"/>
  <c r="N73" i="13" s="1"/>
  <c r="N37" i="13"/>
  <c r="N43" i="13" s="1"/>
  <c r="N72" i="13" s="1"/>
  <c r="P77" i="14"/>
  <c r="P67" i="16"/>
  <c r="P172" i="18" s="1"/>
  <c r="Q61" i="14"/>
  <c r="Q67" i="14" s="1"/>
  <c r="Q66" i="14"/>
  <c r="Q55" i="16"/>
  <c r="O77" i="14"/>
  <c r="O115" i="13"/>
  <c r="O138" i="13" l="1"/>
  <c r="O96" i="14"/>
  <c r="I129" i="18"/>
  <c r="I135" i="18" s="1"/>
  <c r="K112" i="18"/>
  <c r="I127" i="18"/>
  <c r="I128" i="18"/>
  <c r="I134" i="18" s="1"/>
  <c r="J128" i="18"/>
  <c r="J134" i="18" s="1"/>
  <c r="J129" i="18"/>
  <c r="J135" i="18" s="1"/>
  <c r="J127" i="18"/>
  <c r="L112" i="18"/>
  <c r="L102" i="13"/>
  <c r="M94" i="13"/>
  <c r="M100" i="13" s="1"/>
  <c r="M106" i="13" s="1"/>
  <c r="M125" i="13" s="1"/>
  <c r="M126" i="13" s="1"/>
  <c r="M76" i="13"/>
  <c r="M74" i="13"/>
  <c r="K157" i="13"/>
  <c r="K158" i="13" s="1"/>
  <c r="M95" i="13"/>
  <c r="M101" i="13" s="1"/>
  <c r="M107" i="13" s="1"/>
  <c r="M148" i="13" s="1"/>
  <c r="M149" i="13" s="1"/>
  <c r="O78" i="13"/>
  <c r="O37" i="13" s="1"/>
  <c r="O43" i="13" s="1"/>
  <c r="O72" i="13" s="1"/>
  <c r="K134" i="13"/>
  <c r="K135" i="13" s="1"/>
  <c r="L96" i="13"/>
  <c r="O104" i="14"/>
  <c r="O95" i="14"/>
  <c r="O76" i="14"/>
  <c r="O78" i="14" s="1"/>
  <c r="P104" i="14"/>
  <c r="N78" i="14"/>
  <c r="N122" i="14"/>
  <c r="N123" i="14" s="1"/>
  <c r="N97" i="14"/>
  <c r="P76" i="14"/>
  <c r="P78" i="14" s="1"/>
  <c r="N117" i="14"/>
  <c r="N118" i="14" s="1"/>
  <c r="L106" i="13"/>
  <c r="L125" i="13" s="1"/>
  <c r="L126" i="13" s="1"/>
  <c r="N77" i="13"/>
  <c r="N76" i="13"/>
  <c r="N74" i="13"/>
  <c r="L112" i="13"/>
  <c r="L139" i="13" s="1"/>
  <c r="L140" i="13" s="1"/>
  <c r="L148" i="13"/>
  <c r="L149" i="13" s="1"/>
  <c r="M99" i="13"/>
  <c r="P96" i="14"/>
  <c r="P97" i="14" s="1"/>
  <c r="P138" i="13"/>
  <c r="Q58" i="16"/>
  <c r="Q63" i="16" s="1"/>
  <c r="Q67" i="16" s="1"/>
  <c r="Q172" i="18" s="1"/>
  <c r="E176" i="18" s="1"/>
  <c r="Q68" i="14"/>
  <c r="P107" i="14"/>
  <c r="O97" i="14" l="1"/>
  <c r="K64" i="18"/>
  <c r="K70" i="18" s="1"/>
  <c r="K65" i="18"/>
  <c r="K71" i="18" s="1"/>
  <c r="I133" i="18"/>
  <c r="I130" i="18"/>
  <c r="Q66" i="16"/>
  <c r="Q149" i="18" s="1"/>
  <c r="E153" i="18" s="1"/>
  <c r="I140" i="18"/>
  <c r="I159" i="18" s="1"/>
  <c r="I160" i="18" s="1"/>
  <c r="O38" i="13"/>
  <c r="O44" i="13" s="1"/>
  <c r="O73" i="13" s="1"/>
  <c r="O77" i="13" s="1"/>
  <c r="O95" i="13" s="1"/>
  <c r="O101" i="13" s="1"/>
  <c r="J140" i="18"/>
  <c r="J159" i="18" s="1"/>
  <c r="J160" i="18" s="1"/>
  <c r="J141" i="18"/>
  <c r="J182" i="18" s="1"/>
  <c r="J183" i="18" s="1"/>
  <c r="J133" i="18"/>
  <c r="J130" i="18"/>
  <c r="I141" i="18"/>
  <c r="I182" i="18" s="1"/>
  <c r="I183" i="18" s="1"/>
  <c r="L65" i="18"/>
  <c r="L71" i="18" s="1"/>
  <c r="L64" i="18"/>
  <c r="L70" i="18" s="1"/>
  <c r="M96" i="13"/>
  <c r="O85" i="14"/>
  <c r="P85" i="14"/>
  <c r="P87" i="14" s="1"/>
  <c r="Q71" i="14"/>
  <c r="Q72" i="14" s="1"/>
  <c r="O107" i="14"/>
  <c r="O109" i="14" s="1"/>
  <c r="L108" i="13"/>
  <c r="P78" i="13"/>
  <c r="N94" i="13"/>
  <c r="N100" i="13" s="1"/>
  <c r="N93" i="13"/>
  <c r="N95" i="13"/>
  <c r="N101" i="13" s="1"/>
  <c r="L111" i="13"/>
  <c r="L116" i="13" s="1"/>
  <c r="L117" i="13" s="1"/>
  <c r="M112" i="13"/>
  <c r="M139" i="13" s="1"/>
  <c r="M140" i="13" s="1"/>
  <c r="M111" i="13"/>
  <c r="M116" i="13" s="1"/>
  <c r="M102" i="13"/>
  <c r="M105" i="13"/>
  <c r="M108" i="13" s="1"/>
  <c r="E70" i="16"/>
  <c r="Q138" i="13"/>
  <c r="Q96" i="14"/>
  <c r="E99" i="14" s="1"/>
  <c r="P109" i="14"/>
  <c r="E69" i="16" l="1"/>
  <c r="Q77" i="14"/>
  <c r="E80" i="14" s="1"/>
  <c r="Q115" i="13"/>
  <c r="E119" i="13" s="1"/>
  <c r="Q78" i="13"/>
  <c r="Q37" i="13" s="1"/>
  <c r="Q43" i="13" s="1"/>
  <c r="Q72" i="13" s="1"/>
  <c r="O93" i="13"/>
  <c r="O99" i="13" s="1"/>
  <c r="O94" i="13"/>
  <c r="O100" i="13" s="1"/>
  <c r="O106" i="13" s="1"/>
  <c r="O125" i="13" s="1"/>
  <c r="O126" i="13" s="1"/>
  <c r="O76" i="13"/>
  <c r="O117" i="14"/>
  <c r="O118" i="14" s="1"/>
  <c r="O74" i="13"/>
  <c r="J146" i="18"/>
  <c r="J173" i="18" s="1"/>
  <c r="J174" i="18" s="1"/>
  <c r="K77" i="18"/>
  <c r="K107" i="18"/>
  <c r="I146" i="18"/>
  <c r="I173" i="18" s="1"/>
  <c r="I174" i="18" s="1"/>
  <c r="J145" i="18"/>
  <c r="J150" i="18" s="1"/>
  <c r="J151" i="18" s="1"/>
  <c r="I139" i="18"/>
  <c r="I142" i="18" s="1"/>
  <c r="I136" i="18"/>
  <c r="K76" i="18"/>
  <c r="K106" i="18"/>
  <c r="L77" i="18"/>
  <c r="L107" i="18"/>
  <c r="L106" i="18"/>
  <c r="L76" i="18"/>
  <c r="J139" i="18"/>
  <c r="J142" i="18" s="1"/>
  <c r="J136" i="18"/>
  <c r="O87" i="14"/>
  <c r="I145" i="18"/>
  <c r="I150" i="18" s="1"/>
  <c r="I151" i="18" s="1"/>
  <c r="Q76" i="14"/>
  <c r="Q85" i="14" s="1"/>
  <c r="Q95" i="14"/>
  <c r="E100" i="14" s="1"/>
  <c r="E101" i="14" s="1"/>
  <c r="Q104" i="14"/>
  <c r="P117" i="14"/>
  <c r="P118" i="14" s="1"/>
  <c r="P122" i="14"/>
  <c r="P123" i="14" s="1"/>
  <c r="O122" i="14"/>
  <c r="O123" i="14" s="1"/>
  <c r="O107" i="13"/>
  <c r="O148" i="13" s="1"/>
  <c r="O149" i="13" s="1"/>
  <c r="L134" i="13"/>
  <c r="L135" i="13" s="1"/>
  <c r="L157" i="13"/>
  <c r="L158" i="13" s="1"/>
  <c r="N107" i="13"/>
  <c r="N148" i="13" s="1"/>
  <c r="N96" i="13"/>
  <c r="N99" i="13"/>
  <c r="N106" i="13"/>
  <c r="N125" i="13" s="1"/>
  <c r="P37" i="13"/>
  <c r="P43" i="13" s="1"/>
  <c r="P72" i="13" s="1"/>
  <c r="P38" i="13"/>
  <c r="P44" i="13" s="1"/>
  <c r="P73" i="13" s="1"/>
  <c r="M117" i="13"/>
  <c r="M134" i="13"/>
  <c r="M135" i="13" s="1"/>
  <c r="M157" i="13"/>
  <c r="M158" i="13" s="1"/>
  <c r="E142" i="13"/>
  <c r="O96" i="13" l="1"/>
  <c r="O111" i="13"/>
  <c r="O116" i="13" s="1"/>
  <c r="O117" i="13" s="1"/>
  <c r="Q38" i="13"/>
  <c r="Q44" i="13" s="1"/>
  <c r="Q73" i="13" s="1"/>
  <c r="Q74" i="13" s="1"/>
  <c r="J168" i="18"/>
  <c r="J169" i="18" s="1"/>
  <c r="I191" i="18"/>
  <c r="I192" i="18" s="1"/>
  <c r="I168" i="18"/>
  <c r="I169" i="18" s="1"/>
  <c r="K78" i="18"/>
  <c r="K111" i="18"/>
  <c r="K110" i="18"/>
  <c r="K108" i="18"/>
  <c r="L108" i="18"/>
  <c r="L110" i="18"/>
  <c r="L111" i="18"/>
  <c r="L78" i="18"/>
  <c r="J191" i="18"/>
  <c r="J192" i="18" s="1"/>
  <c r="Q107" i="14"/>
  <c r="Q109" i="14" s="1"/>
  <c r="Q97" i="14"/>
  <c r="Q78" i="14"/>
  <c r="N111" i="13"/>
  <c r="N116" i="13" s="1"/>
  <c r="N117" i="13" s="1"/>
  <c r="O112" i="13"/>
  <c r="O139" i="13" s="1"/>
  <c r="O140" i="13" s="1"/>
  <c r="N112" i="13"/>
  <c r="N139" i="13" s="1"/>
  <c r="N140" i="13" s="1"/>
  <c r="N126" i="13"/>
  <c r="O105" i="13"/>
  <c r="O108" i="13" s="1"/>
  <c r="O102" i="13"/>
  <c r="P77" i="13"/>
  <c r="P76" i="13"/>
  <c r="P74" i="13"/>
  <c r="N149" i="13"/>
  <c r="N102" i="13"/>
  <c r="N105" i="13"/>
  <c r="N108" i="13" s="1"/>
  <c r="Q87" i="14"/>
  <c r="Q77" i="13" l="1"/>
  <c r="Q93" i="13" s="1"/>
  <c r="Q99" i="13" s="1"/>
  <c r="Q76" i="13"/>
  <c r="Q122" i="14"/>
  <c r="Q123" i="14" s="1"/>
  <c r="K128" i="18"/>
  <c r="K134" i="18" s="1"/>
  <c r="M112" i="18"/>
  <c r="K129" i="18"/>
  <c r="K135" i="18" s="1"/>
  <c r="K127" i="18"/>
  <c r="L127" i="18"/>
  <c r="L129" i="18"/>
  <c r="L135" i="18" s="1"/>
  <c r="N112" i="18"/>
  <c r="L128" i="18"/>
  <c r="L134" i="18" s="1"/>
  <c r="E112" i="14"/>
  <c r="E113" i="14" s="1"/>
  <c r="Q117" i="14"/>
  <c r="Q118" i="14" s="1"/>
  <c r="N157" i="13"/>
  <c r="N158" i="13" s="1"/>
  <c r="P93" i="13"/>
  <c r="P94" i="13"/>
  <c r="P100" i="13" s="1"/>
  <c r="P95" i="13"/>
  <c r="P101" i="13" s="1"/>
  <c r="O134" i="13"/>
  <c r="O135" i="13" s="1"/>
  <c r="O157" i="13"/>
  <c r="O158" i="13" s="1"/>
  <c r="N134" i="13"/>
  <c r="N135" i="13" s="1"/>
  <c r="E52" i="14"/>
  <c r="E60" i="14" s="1"/>
  <c r="Q95" i="13" l="1"/>
  <c r="Q101" i="13" s="1"/>
  <c r="Q107" i="13" s="1"/>
  <c r="Q148" i="13" s="1"/>
  <c r="Q149" i="13" s="1"/>
  <c r="Q94" i="13"/>
  <c r="Q100" i="13" s="1"/>
  <c r="Q106" i="13" s="1"/>
  <c r="Q125" i="13" s="1"/>
  <c r="Q126" i="13" s="1"/>
  <c r="M65" i="18"/>
  <c r="M71" i="18" s="1"/>
  <c r="M64" i="18"/>
  <c r="M70" i="18" s="1"/>
  <c r="K140" i="18"/>
  <c r="K159" i="18" s="1"/>
  <c r="K160" i="18" s="1"/>
  <c r="K130" i="18"/>
  <c r="K133" i="18"/>
  <c r="L133" i="18"/>
  <c r="L130" i="18"/>
  <c r="K141" i="18"/>
  <c r="K182" i="18" s="1"/>
  <c r="K183" i="18" s="1"/>
  <c r="L141" i="18"/>
  <c r="L182" i="18" s="1"/>
  <c r="L183" i="18" s="1"/>
  <c r="E64" i="14"/>
  <c r="N65" i="18"/>
  <c r="N71" i="18" s="1"/>
  <c r="N64" i="18"/>
  <c r="N70" i="18" s="1"/>
  <c r="L140" i="18"/>
  <c r="L159" i="18" s="1"/>
  <c r="L160" i="18" s="1"/>
  <c r="P107" i="13"/>
  <c r="P148" i="13" s="1"/>
  <c r="P106" i="13"/>
  <c r="P125" i="13" s="1"/>
  <c r="P96" i="13"/>
  <c r="P99" i="13"/>
  <c r="Q105" i="13"/>
  <c r="Q111" i="13" l="1"/>
  <c r="Q116" i="13" s="1"/>
  <c r="Q117" i="13" s="1"/>
  <c r="Q112" i="13"/>
  <c r="Q139" i="13" s="1"/>
  <c r="Q140" i="13" s="1"/>
  <c r="Q108" i="13"/>
  <c r="Q102" i="13"/>
  <c r="Q96" i="13"/>
  <c r="L146" i="18"/>
  <c r="L173" i="18" s="1"/>
  <c r="L174" i="18" s="1"/>
  <c r="K146" i="18"/>
  <c r="K173" i="18" s="1"/>
  <c r="K174" i="18" s="1"/>
  <c r="M106" i="18"/>
  <c r="M76" i="18"/>
  <c r="N77" i="18"/>
  <c r="N107" i="18"/>
  <c r="K145" i="18"/>
  <c r="K150" i="18" s="1"/>
  <c r="K151" i="18" s="1"/>
  <c r="N76" i="18"/>
  <c r="N106" i="18"/>
  <c r="L145" i="18"/>
  <c r="L150" i="18" s="1"/>
  <c r="L151" i="18" s="1"/>
  <c r="M107" i="18"/>
  <c r="M77" i="18"/>
  <c r="K136" i="18"/>
  <c r="K139" i="18"/>
  <c r="K142" i="18" s="1"/>
  <c r="L139" i="18"/>
  <c r="L142" i="18" s="1"/>
  <c r="L136" i="18"/>
  <c r="P111" i="13"/>
  <c r="P116" i="13" s="1"/>
  <c r="P117" i="13" s="1"/>
  <c r="P112" i="13"/>
  <c r="P139" i="13" s="1"/>
  <c r="P140" i="13" s="1"/>
  <c r="P126" i="13"/>
  <c r="E129" i="13"/>
  <c r="E130" i="13" s="1"/>
  <c r="P149" i="13"/>
  <c r="E152" i="13"/>
  <c r="E153" i="13" s="1"/>
  <c r="P105" i="13"/>
  <c r="P108" i="13" s="1"/>
  <c r="P102" i="13"/>
  <c r="E61" i="14"/>
  <c r="E67" i="14" s="1"/>
  <c r="E66" i="14"/>
  <c r="Q157" i="13" l="1"/>
  <c r="Q158" i="13" s="1"/>
  <c r="M78" i="18"/>
  <c r="Q134" i="13"/>
  <c r="Q135" i="13" s="1"/>
  <c r="N78" i="18"/>
  <c r="L168" i="18"/>
  <c r="L169" i="18" s="1"/>
  <c r="K168" i="18"/>
  <c r="K169" i="18" s="1"/>
  <c r="K191" i="18"/>
  <c r="K192" i="18" s="1"/>
  <c r="L191" i="18"/>
  <c r="L192" i="18" s="1"/>
  <c r="M111" i="18"/>
  <c r="M110" i="18"/>
  <c r="M108" i="18"/>
  <c r="N108" i="18"/>
  <c r="N111" i="18"/>
  <c r="N110" i="18"/>
  <c r="E143" i="13"/>
  <c r="E144" i="13" s="1"/>
  <c r="E120" i="13"/>
  <c r="E121" i="13" s="1"/>
  <c r="P157" i="13"/>
  <c r="P158" i="13" s="1"/>
  <c r="P134" i="13"/>
  <c r="P135" i="13" s="1"/>
  <c r="E68" i="14"/>
  <c r="O112" i="18" l="1"/>
  <c r="M128" i="18"/>
  <c r="M134" i="18" s="1"/>
  <c r="M129" i="18"/>
  <c r="M135" i="18" s="1"/>
  <c r="M127" i="18"/>
  <c r="P112" i="18"/>
  <c r="N129" i="18"/>
  <c r="N135" i="18" s="1"/>
  <c r="N128" i="18"/>
  <c r="N134" i="18" s="1"/>
  <c r="N127" i="18"/>
  <c r="E71" i="14"/>
  <c r="E72" i="14" s="1"/>
  <c r="O65" i="18" l="1"/>
  <c r="O71" i="18" s="1"/>
  <c r="O64" i="18"/>
  <c r="O70" i="18" s="1"/>
  <c r="M141" i="18"/>
  <c r="M182" i="18" s="1"/>
  <c r="M133" i="18"/>
  <c r="M130" i="18"/>
  <c r="M140" i="18"/>
  <c r="M159" i="18" s="1"/>
  <c r="N141" i="18"/>
  <c r="N182" i="18" s="1"/>
  <c r="N183" i="18" s="1"/>
  <c r="P65" i="18"/>
  <c r="P71" i="18" s="1"/>
  <c r="P64" i="18"/>
  <c r="P70" i="18" s="1"/>
  <c r="N140" i="18"/>
  <c r="N159" i="18" s="1"/>
  <c r="N160" i="18" s="1"/>
  <c r="N133" i="18"/>
  <c r="N130" i="18"/>
  <c r="E95" i="14"/>
  <c r="E76" i="14"/>
  <c r="E104" i="14"/>
  <c r="N145" i="18" l="1"/>
  <c r="N150" i="18" s="1"/>
  <c r="N151" i="18" s="1"/>
  <c r="M145" i="18"/>
  <c r="M150" i="18" s="1"/>
  <c r="M151" i="18" s="1"/>
  <c r="O77" i="18"/>
  <c r="O107" i="18"/>
  <c r="N136" i="18"/>
  <c r="N139" i="18"/>
  <c r="N142" i="18" s="1"/>
  <c r="P77" i="18"/>
  <c r="P107" i="18"/>
  <c r="M136" i="18"/>
  <c r="M139" i="18"/>
  <c r="M142" i="18" s="1"/>
  <c r="N146" i="18"/>
  <c r="N173" i="18" s="1"/>
  <c r="N174" i="18" s="1"/>
  <c r="O106" i="18"/>
  <c r="O76" i="18"/>
  <c r="P106" i="18"/>
  <c r="P76" i="18"/>
  <c r="M146" i="18"/>
  <c r="M173" i="18" s="1"/>
  <c r="M183" i="18"/>
  <c r="M160" i="18"/>
  <c r="E81" i="14"/>
  <c r="E82" i="14" s="1"/>
  <c r="E85" i="14"/>
  <c r="E78" i="14"/>
  <c r="E97" i="14"/>
  <c r="E107" i="14"/>
  <c r="E109" i="14" s="1"/>
  <c r="N191" i="18" l="1"/>
  <c r="N192" i="18" s="1"/>
  <c r="N168" i="18"/>
  <c r="N169" i="18" s="1"/>
  <c r="M168" i="18"/>
  <c r="M169" i="18" s="1"/>
  <c r="M191" i="18"/>
  <c r="M192" i="18" s="1"/>
  <c r="O111" i="18"/>
  <c r="O108" i="18"/>
  <c r="O110" i="18"/>
  <c r="P111" i="18"/>
  <c r="P108" i="18"/>
  <c r="P110" i="18"/>
  <c r="O78" i="18"/>
  <c r="P78" i="18"/>
  <c r="M174" i="18"/>
  <c r="E117" i="14"/>
  <c r="E118" i="14" s="1"/>
  <c r="E90" i="14"/>
  <c r="E91" i="14" s="1"/>
  <c r="E87" i="14"/>
  <c r="E122" i="14"/>
  <c r="E123" i="14" s="1"/>
  <c r="Q112" i="18" l="1"/>
  <c r="O127" i="18"/>
  <c r="O128" i="18"/>
  <c r="O134" i="18" s="1"/>
  <c r="O129" i="18"/>
  <c r="O135" i="18" s="1"/>
  <c r="P127" i="18"/>
  <c r="P128" i="18"/>
  <c r="P134" i="18" s="1"/>
  <c r="P129" i="18"/>
  <c r="P135" i="18" s="1"/>
  <c r="O141" i="18" l="1"/>
  <c r="O182" i="18" s="1"/>
  <c r="O133" i="18"/>
  <c r="O130" i="18"/>
  <c r="P140" i="18"/>
  <c r="P159" i="18" s="1"/>
  <c r="P160" i="18" s="1"/>
  <c r="Q65" i="18"/>
  <c r="Q71" i="18" s="1"/>
  <c r="Q64" i="18"/>
  <c r="Q70" i="18" s="1"/>
  <c r="O140" i="18"/>
  <c r="O159" i="18" s="1"/>
  <c r="P133" i="18"/>
  <c r="P130" i="18"/>
  <c r="P141" i="18"/>
  <c r="P182" i="18" s="1"/>
  <c r="P183" i="18" s="1"/>
  <c r="P146" i="18" l="1"/>
  <c r="P173" i="18" s="1"/>
  <c r="P174" i="18" s="1"/>
  <c r="Q76" i="18"/>
  <c r="Q106" i="18"/>
  <c r="Q77" i="18"/>
  <c r="Q107" i="18"/>
  <c r="O146" i="18"/>
  <c r="O173" i="18" s="1"/>
  <c r="O183" i="18"/>
  <c r="O139" i="18"/>
  <c r="O142" i="18" s="1"/>
  <c r="O136" i="18"/>
  <c r="P145" i="18"/>
  <c r="P150" i="18" s="1"/>
  <c r="P151" i="18" s="1"/>
  <c r="O160" i="18"/>
  <c r="P136" i="18"/>
  <c r="P139" i="18"/>
  <c r="P142" i="18" s="1"/>
  <c r="O145" i="18"/>
  <c r="O150" i="18" s="1"/>
  <c r="P191" i="18" l="1"/>
  <c r="P192" i="18" s="1"/>
  <c r="Q78" i="18"/>
  <c r="P168" i="18"/>
  <c r="P169" i="18" s="1"/>
  <c r="O168" i="18"/>
  <c r="O169" i="18" s="1"/>
  <c r="O191" i="18"/>
  <c r="O192" i="18" s="1"/>
  <c r="Q108" i="18"/>
  <c r="Q110" i="18"/>
  <c r="Q111" i="18"/>
  <c r="O174" i="18"/>
  <c r="O151" i="18"/>
  <c r="Q129" i="18" l="1"/>
  <c r="Q135" i="18" s="1"/>
  <c r="Q127" i="18"/>
  <c r="Q128" i="18"/>
  <c r="Q134" i="18" s="1"/>
  <c r="Q141" i="18" l="1"/>
  <c r="Q182" i="18" s="1"/>
  <c r="Q133" i="18"/>
  <c r="Q130" i="18"/>
  <c r="Q140" i="18"/>
  <c r="Q159" i="18" s="1"/>
  <c r="Q183" i="18" l="1"/>
  <c r="E186" i="18"/>
  <c r="E187" i="18" s="1"/>
  <c r="Q136" i="18"/>
  <c r="Q139" i="18"/>
  <c r="Q142" i="18" s="1"/>
  <c r="Q160" i="18"/>
  <c r="E163" i="18"/>
  <c r="E164" i="18" s="1"/>
  <c r="Q146" i="18"/>
  <c r="Q173" i="18" s="1"/>
  <c r="Q145" i="18"/>
  <c r="Q150" i="18" s="1"/>
  <c r="Q168" i="18" l="1"/>
  <c r="Q169" i="18" s="1"/>
  <c r="Q191" i="18"/>
  <c r="Q192" i="18" s="1"/>
  <c r="Q151" i="18"/>
  <c r="E154" i="18"/>
  <c r="E155" i="18" s="1"/>
  <c r="Q174" i="18"/>
  <c r="E177" i="18"/>
  <c r="E178" i="18" s="1"/>
</calcChain>
</file>

<file path=xl/comments1.xml><?xml version="1.0" encoding="utf-8"?>
<comments xmlns="http://schemas.openxmlformats.org/spreadsheetml/2006/main">
  <authors>
    <author>Farhana Chowdhurdy</author>
  </authors>
  <commentList>
    <comment ref="B63" authorId="0" shapeId="0">
      <text>
        <r>
          <rPr>
            <b/>
            <sz val="9"/>
            <color indexed="81"/>
            <rFont val="Tahoma"/>
            <family val="2"/>
          </rPr>
          <t>Farhana Chowdhurdy:</t>
        </r>
        <r>
          <rPr>
            <sz val="9"/>
            <color indexed="81"/>
            <rFont val="Tahoma"/>
            <family val="2"/>
          </rPr>
          <t xml:space="preserve">
Why aren't we subtracting AT1 revenue?</t>
        </r>
      </text>
    </comment>
  </commentList>
</comments>
</file>

<file path=xl/sharedStrings.xml><?xml version="1.0" encoding="utf-8"?>
<sst xmlns="http://schemas.openxmlformats.org/spreadsheetml/2006/main" count="1257" uniqueCount="138">
  <si>
    <t>WACC</t>
  </si>
  <si>
    <t>CPI</t>
  </si>
  <si>
    <t>MCI</t>
  </si>
  <si>
    <t>Payload</t>
  </si>
  <si>
    <t>Gross weight - loaded</t>
  </si>
  <si>
    <t>Tonnes</t>
  </si>
  <si>
    <t>Tare weight - empty</t>
  </si>
  <si>
    <t>Starting volume</t>
  </si>
  <si>
    <t>Net Tonnes</t>
  </si>
  <si>
    <t>AT1</t>
  </si>
  <si>
    <t>AT2</t>
  </si>
  <si>
    <t>$ per '000GTK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</si>
  <si>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</si>
  <si>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</si>
  <si>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</si>
  <si>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</si>
  <si>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</si>
  <si>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</si>
  <si>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</si>
  <si>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</si>
  <si>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</si>
  <si>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</si>
  <si>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</si>
  <si>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</si>
  <si>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</si>
  <si>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Volumes</t>
  </si>
  <si>
    <t>GTK'000</t>
  </si>
  <si>
    <t>Train Paths</t>
  </si>
  <si>
    <t>NTK'000</t>
  </si>
  <si>
    <t>Mainline distance</t>
  </si>
  <si>
    <t>Km</t>
  </si>
  <si>
    <t>Tariff revenue</t>
  </si>
  <si>
    <t>AT1: $/000GTK</t>
  </si>
  <si>
    <t>AT2: $/Train path</t>
  </si>
  <si>
    <t>AT3: $/000NTK</t>
  </si>
  <si>
    <t>AT4: $/Net tonne</t>
  </si>
  <si>
    <t>Revenue check</t>
  </si>
  <si>
    <t xml:space="preserve">Train and track </t>
  </si>
  <si>
    <t>Starting tariffs</t>
  </si>
  <si>
    <t>$ per Train Path</t>
  </si>
  <si>
    <t>SUFA 1</t>
  </si>
  <si>
    <t>SUFA 2</t>
  </si>
  <si>
    <t>MAR: Existing system</t>
  </si>
  <si>
    <t>MAR: SUFA 1</t>
  </si>
  <si>
    <t>MAR: SUFA 2</t>
  </si>
  <si>
    <t>Total</t>
  </si>
  <si>
    <t>Consolidated system: MAR</t>
  </si>
  <si>
    <t>Consolidated system: Volumes</t>
  </si>
  <si>
    <t>GTK'000: Existing system</t>
  </si>
  <si>
    <t>Train Paths: Existing system</t>
  </si>
  <si>
    <t>NTK'000: Existing system</t>
  </si>
  <si>
    <t>Net Tonnes: Existing system</t>
  </si>
  <si>
    <t>GTK'000: SUFA 1</t>
  </si>
  <si>
    <t>Train Paths: SUFA 1</t>
  </si>
  <si>
    <t>NTK'000: SUFA 1</t>
  </si>
  <si>
    <t>Net Tonnes: SUFA 1</t>
  </si>
  <si>
    <t>GTK'000: SUFA 2</t>
  </si>
  <si>
    <t>Train Paths: SUFA 2</t>
  </si>
  <si>
    <t>NTK'000: SUFA 2</t>
  </si>
  <si>
    <t>Net Tonnes: SUFA 2</t>
  </si>
  <si>
    <r>
      <t xml:space="preserve">GTK'000: </t>
    </r>
    <r>
      <rPr>
        <b/>
        <sz val="9"/>
        <color theme="1"/>
        <rFont val="Calibri"/>
        <family val="2"/>
        <scheme val="minor"/>
      </rPr>
      <t>Total</t>
    </r>
  </si>
  <si>
    <r>
      <t xml:space="preserve">Train Paths: </t>
    </r>
    <r>
      <rPr>
        <b/>
        <sz val="9"/>
        <color theme="1"/>
        <rFont val="Calibri"/>
        <family val="2"/>
        <scheme val="minor"/>
      </rPr>
      <t>Total</t>
    </r>
  </si>
  <si>
    <r>
      <t xml:space="preserve">NTK'000: </t>
    </r>
    <r>
      <rPr>
        <b/>
        <sz val="9"/>
        <color theme="1"/>
        <rFont val="Calibri"/>
        <family val="2"/>
        <scheme val="minor"/>
      </rPr>
      <t>Total</t>
    </r>
  </si>
  <si>
    <r>
      <t xml:space="preserve">Net Tonnes: </t>
    </r>
    <r>
      <rPr>
        <b/>
        <sz val="9"/>
        <color theme="1"/>
        <rFont val="Calibri"/>
        <family val="2"/>
        <scheme val="minor"/>
      </rPr>
      <t>Total</t>
    </r>
  </si>
  <si>
    <t>Consolidated system: Tariffs</t>
  </si>
  <si>
    <t>Consolidated system: Capital components</t>
  </si>
  <si>
    <t>Capital components: Existing system</t>
  </si>
  <si>
    <t>Capital components: SUFA 1</t>
  </si>
  <si>
    <t>Capital components: SUFA 2</t>
  </si>
  <si>
    <t>Rental streams: Existing system</t>
  </si>
  <si>
    <t>Rental streams: SUFA 1</t>
  </si>
  <si>
    <t>Rental streams: SUFA 2</t>
  </si>
  <si>
    <t>Consolidated system: Tariff revenues</t>
  </si>
  <si>
    <t>Less</t>
  </si>
  <si>
    <t>- Operating costs</t>
  </si>
  <si>
    <t xml:space="preserve">Consolidated system: Rental </t>
  </si>
  <si>
    <t>Consolidated system: Rental based on tariff revenue</t>
  </si>
  <si>
    <t>Baseline: Tariff revenues</t>
  </si>
  <si>
    <t>Actual volumes</t>
  </si>
  <si>
    <t>Baseline: Tariffs</t>
  </si>
  <si>
    <t>Actual: Tariff revenues</t>
  </si>
  <si>
    <t>Basline: Tariff revenue</t>
  </si>
  <si>
    <t>Actual: Tariff revenue</t>
  </si>
  <si>
    <t>Existing RAB</t>
  </si>
  <si>
    <t>SUFA 1: Rental stream comparison</t>
  </si>
  <si>
    <t>Basline rental stream</t>
  </si>
  <si>
    <t>Adjusted rental stream</t>
  </si>
  <si>
    <t>Yearly difference (Adjusted less Baseline)</t>
  </si>
  <si>
    <t>NPV: Baseline rental stream</t>
  </si>
  <si>
    <t>NPV: Adjusted rental stream</t>
  </si>
  <si>
    <t>Difference (Adjusted less Baseline)</t>
  </si>
  <si>
    <t>SUFA 2: Rental stream comparison</t>
  </si>
  <si>
    <t>Forecast volumes</t>
  </si>
  <si>
    <t>Adjustment: Tariffs</t>
  </si>
  <si>
    <t>Capital components: Baseline</t>
  </si>
  <si>
    <t>Capital components proportions: Baseline</t>
  </si>
  <si>
    <t>Capital components: Adjusted</t>
  </si>
  <si>
    <t>Adjustment allocation</t>
  </si>
  <si>
    <t>Rental stream: Adjusted</t>
  </si>
  <si>
    <t>SUFA 1: Applicable interest comparison</t>
  </si>
  <si>
    <t>Baseline applicable interest</t>
  </si>
  <si>
    <t>Adjusted applicable interest</t>
  </si>
  <si>
    <t>SUFA 2: Applicable interest comparison</t>
  </si>
  <si>
    <t>Capital component proportion</t>
  </si>
  <si>
    <t>Applicable interest</t>
  </si>
  <si>
    <t>Volume adjusted rental stream</t>
  </si>
  <si>
    <t>NPV: Volume adjusted rental stream</t>
  </si>
  <si>
    <t>Financial: existing RAB, SUFA 1, SUFA 2</t>
  </si>
  <si>
    <t>Escalators</t>
  </si>
  <si>
    <t>Capital components (Total)</t>
  </si>
  <si>
    <t>NPV rental stream: SUFA 1</t>
  </si>
  <si>
    <t>NPV rental stream: SUFA 2</t>
  </si>
  <si>
    <t>Baseline rental stream</t>
  </si>
  <si>
    <t>Legend</t>
  </si>
  <si>
    <t>Input</t>
  </si>
  <si>
    <t>Linked Cell</t>
  </si>
  <si>
    <t>Calculation</t>
  </si>
  <si>
    <t>Consolidated system: Applicable Interest</t>
  </si>
  <si>
    <t>Applicable Interest: Existing system</t>
  </si>
  <si>
    <t>Applicable Interest: SUFA 1</t>
  </si>
  <si>
    <t>Applicable Interest: SUFA 2</t>
  </si>
  <si>
    <t>Revision to Forecast prior to commencement of year</t>
  </si>
  <si>
    <t>Revised Forecast: Tariff revenues</t>
  </si>
  <si>
    <t>Consolidated system: AT2-4 Distribution pool</t>
  </si>
  <si>
    <t>AT1 Tariff Revenue</t>
  </si>
  <si>
    <t>AT2-4 Tariff Revenue</t>
  </si>
  <si>
    <t>AT2-4 Distribution Pool</t>
  </si>
  <si>
    <t>Operating Costs</t>
  </si>
  <si>
    <t>Maintenance Costs</t>
  </si>
  <si>
    <t>- Maintenance costs (recovered through AT2-4 Tariffs)</t>
  </si>
  <si>
    <t>Total Tariff revenue</t>
  </si>
  <si>
    <t>AT2-4 Received Amount</t>
  </si>
  <si>
    <t>Revenue Cap Adjustments</t>
  </si>
  <si>
    <t>Baseline: Tariffs (incl Revenue Cap)</t>
  </si>
  <si>
    <t>AT2-4 Revenue Adjustment Amount (t)</t>
  </si>
  <si>
    <t>AT2-4 Revenue Adjustment Amount (t-2)</t>
  </si>
  <si>
    <t>SUFA 1: Rental stream</t>
  </si>
  <si>
    <t>SUFA 2: Rental 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</si>
</sst>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%"/>
    <numFmt numFmtId="166" formatCode="#,##0.0000"/>
    <numFmt numFmtId="167" formatCode="#,##0.00000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theme="1"/>
      <name val="Calibri"/>
      <family val="2"/>
      <scheme val="minor"/>
    </font>
    <font>
      <sz val="9"/>
      <color rgb="FF9C6500"/>
      <name val="Calibri"/>
      <family val="2"/>
    </font>
    <font>
      <sz val="9"/>
      <color rgb="FF006100"/>
      <name val="Calibri"/>
      <family val="2"/>
    </font>
    <font>
      <sz val="9"/>
      <color theme="7" tint="-0.24994659260841701"/>
      <name val="Calibri"/>
      <family val="2"/>
    </font>
    <font>
      <b/>
      <sz val="9"/>
      <color rgb="FF006100"/>
      <name val="Calibri"/>
      <family val="2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3" fillId="9" borderId="0" applyNumberFormat="0" applyBorder="0" applyAlignment="0" applyProtection="0"/>
    <xf numFmtId="0" fontId="11" fillId="8" borderId="0" applyNumberFormat="0" applyBorder="0" applyAlignment="0" applyProtection="0"/>
  </cellStyleXfs>
  <cellXfs count="2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2" fillId="0" borderId="0" xfId="1" applyNumberFormat="1" applyFont="1" applyFill="1" applyAlignment="1">
      <alignment horizontal="center"/>
    </xf>
    <xf numFmtId="0" fontId="2" fillId="0" borderId="0" xfId="0" applyFont="1" applyBorder="1"/>
    <xf numFmtId="3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right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/>
    </xf>
    <xf numFmtId="9" fontId="3" fillId="0" borderId="0" xfId="1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0" xfId="0" applyFont="1" applyFill="1" applyBorder="1"/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165" fontId="2" fillId="0" borderId="9" xfId="1" applyNumberFormat="1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9" fontId="3" fillId="0" borderId="11" xfId="1" applyFont="1" applyBorder="1" applyAlignment="1">
      <alignment horizontal="center"/>
    </xf>
    <xf numFmtId="9" fontId="3" fillId="0" borderId="12" xfId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8" fontId="2" fillId="0" borderId="0" xfId="2" applyNumberFormat="1" applyFont="1"/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3" fontId="2" fillId="0" borderId="20" xfId="0" applyNumberFormat="1" applyFont="1" applyFill="1" applyBorder="1" applyAlignment="1">
      <alignment horizontal="center"/>
    </xf>
    <xf numFmtId="165" fontId="2" fillId="0" borderId="21" xfId="1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5" fontId="2" fillId="0" borderId="5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7" fontId="2" fillId="0" borderId="0" xfId="0" applyNumberFormat="1" applyFont="1" applyFill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2" fillId="0" borderId="11" xfId="0" applyNumberFormat="1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10" fontId="2" fillId="0" borderId="8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 vertical="center"/>
    </xf>
    <xf numFmtId="3" fontId="3" fillId="4" borderId="10" xfId="0" applyNumberFormat="1" applyFont="1" applyFill="1" applyBorder="1" applyAlignment="1">
      <alignment horizontal="center"/>
    </xf>
    <xf numFmtId="3" fontId="3" fillId="4" borderId="11" xfId="0" applyNumberFormat="1" applyFont="1" applyFill="1" applyBorder="1" applyAlignment="1">
      <alignment horizontal="center"/>
    </xf>
    <xf numFmtId="3" fontId="3" fillId="4" borderId="12" xfId="0" applyNumberFormat="1" applyFont="1" applyFill="1" applyBorder="1" applyAlignment="1">
      <alignment horizontal="center"/>
    </xf>
    <xf numFmtId="3" fontId="2" fillId="6" borderId="7" xfId="0" applyNumberFormat="1" applyFont="1" applyFill="1" applyBorder="1" applyAlignment="1">
      <alignment horizontal="center"/>
    </xf>
    <xf numFmtId="3" fontId="2" fillId="6" borderId="8" xfId="0" applyNumberFormat="1" applyFont="1" applyFill="1" applyBorder="1" applyAlignment="1">
      <alignment horizontal="center"/>
    </xf>
    <xf numFmtId="3" fontId="2" fillId="6" borderId="9" xfId="0" applyNumberFormat="1" applyFont="1" applyFill="1" applyBorder="1" applyAlignment="1">
      <alignment horizontal="center"/>
    </xf>
    <xf numFmtId="3" fontId="2" fillId="6" borderId="4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/>
    </xf>
    <xf numFmtId="3" fontId="2" fillId="6" borderId="11" xfId="0" applyNumberFormat="1" applyFont="1" applyFill="1" applyBorder="1" applyAlignment="1">
      <alignment horizontal="center"/>
    </xf>
    <xf numFmtId="3" fontId="2" fillId="6" borderId="12" xfId="0" applyNumberFormat="1" applyFont="1" applyFill="1" applyBorder="1" applyAlignment="1">
      <alignment horizontal="center"/>
    </xf>
    <xf numFmtId="9" fontId="3" fillId="0" borderId="0" xfId="1" applyFont="1" applyFill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4" fontId="2" fillId="4" borderId="11" xfId="0" applyNumberFormat="1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8" borderId="0" xfId="5" applyAlignment="1">
      <alignment horizontal="center" vertical="center"/>
    </xf>
    <xf numFmtId="165" fontId="11" fillId="8" borderId="1" xfId="5" applyNumberFormat="1" applyBorder="1" applyAlignment="1">
      <alignment horizontal="center"/>
    </xf>
    <xf numFmtId="165" fontId="11" fillId="8" borderId="3" xfId="5" applyNumberFormat="1" applyBorder="1" applyAlignment="1">
      <alignment horizontal="center"/>
    </xf>
    <xf numFmtId="3" fontId="11" fillId="8" borderId="1" xfId="5" applyNumberFormat="1" applyBorder="1" applyAlignment="1">
      <alignment horizontal="center"/>
    </xf>
    <xf numFmtId="3" fontId="11" fillId="8" borderId="3" xfId="5" applyNumberFormat="1" applyBorder="1" applyAlignment="1">
      <alignment horizontal="center"/>
    </xf>
    <xf numFmtId="3" fontId="12" fillId="3" borderId="1" xfId="3" applyNumberFormat="1" applyBorder="1" applyAlignment="1" applyProtection="1">
      <alignment horizontal="center"/>
      <protection locked="0"/>
    </xf>
    <xf numFmtId="0" fontId="12" fillId="3" borderId="0" xfId="3" applyAlignment="1" applyProtection="1">
      <alignment horizontal="center" vertical="center"/>
      <protection locked="0"/>
    </xf>
    <xf numFmtId="0" fontId="13" fillId="9" borderId="0" xfId="4" applyAlignment="1">
      <alignment horizontal="center" vertical="center"/>
    </xf>
    <xf numFmtId="3" fontId="11" fillId="8" borderId="2" xfId="5" applyNumberFormat="1" applyBorder="1" applyAlignment="1">
      <alignment horizontal="center"/>
    </xf>
    <xf numFmtId="3" fontId="13" fillId="9" borderId="10" xfId="4" applyNumberFormat="1" applyBorder="1" applyAlignment="1">
      <alignment horizontal="center"/>
    </xf>
    <xf numFmtId="3" fontId="13" fillId="9" borderId="11" xfId="4" applyNumberFormat="1" applyBorder="1" applyAlignment="1">
      <alignment horizontal="center"/>
    </xf>
    <xf numFmtId="3" fontId="13" fillId="9" borderId="12" xfId="4" applyNumberFormat="1" applyBorder="1" applyAlignment="1">
      <alignment horizontal="center"/>
    </xf>
    <xf numFmtId="3" fontId="12" fillId="3" borderId="4" xfId="3" applyNumberFormat="1" applyBorder="1" applyAlignment="1" applyProtection="1">
      <alignment horizontal="center"/>
      <protection locked="0"/>
    </xf>
    <xf numFmtId="3" fontId="12" fillId="3" borderId="7" xfId="3" applyNumberFormat="1" applyBorder="1" applyAlignment="1" applyProtection="1">
      <alignment horizontal="center"/>
      <protection locked="0"/>
    </xf>
    <xf numFmtId="3" fontId="12" fillId="3" borderId="8" xfId="3" applyNumberFormat="1" applyBorder="1" applyAlignment="1" applyProtection="1">
      <alignment horizontal="center"/>
      <protection locked="0"/>
    </xf>
    <xf numFmtId="3" fontId="12" fillId="3" borderId="9" xfId="3" applyNumberFormat="1" applyBorder="1" applyAlignment="1" applyProtection="1">
      <alignment horizontal="center"/>
      <protection locked="0"/>
    </xf>
    <xf numFmtId="3" fontId="12" fillId="3" borderId="18" xfId="3" applyNumberFormat="1" applyBorder="1" applyAlignment="1" applyProtection="1">
      <alignment horizontal="center"/>
      <protection locked="0"/>
    </xf>
    <xf numFmtId="3" fontId="12" fillId="3" borderId="2" xfId="3" applyNumberFormat="1" applyBorder="1" applyAlignment="1" applyProtection="1">
      <alignment horizontal="center"/>
      <protection locked="0"/>
    </xf>
    <xf numFmtId="3" fontId="12" fillId="3" borderId="19" xfId="3" applyNumberFormat="1" applyBorder="1" applyAlignment="1" applyProtection="1">
      <alignment horizontal="center"/>
      <protection locked="0"/>
    </xf>
    <xf numFmtId="3" fontId="12" fillId="3" borderId="5" xfId="3" applyNumberFormat="1" applyBorder="1" applyAlignment="1" applyProtection="1">
      <alignment horizontal="center"/>
      <protection locked="0"/>
    </xf>
    <xf numFmtId="3" fontId="12" fillId="3" borderId="6" xfId="3" applyNumberFormat="1" applyBorder="1" applyAlignment="1" applyProtection="1">
      <alignment horizontal="center"/>
      <protection locked="0"/>
    </xf>
    <xf numFmtId="3" fontId="11" fillId="8" borderId="4" xfId="5" applyNumberFormat="1" applyBorder="1" applyAlignment="1">
      <alignment horizontal="center"/>
    </xf>
    <xf numFmtId="3" fontId="11" fillId="8" borderId="5" xfId="5" applyNumberFormat="1" applyBorder="1" applyAlignment="1">
      <alignment horizontal="center"/>
    </xf>
    <xf numFmtId="3" fontId="11" fillId="8" borderId="6" xfId="5" applyNumberFormat="1" applyBorder="1" applyAlignment="1">
      <alignment horizontal="center"/>
    </xf>
    <xf numFmtId="3" fontId="11" fillId="8" borderId="7" xfId="5" applyNumberFormat="1" applyBorder="1" applyAlignment="1">
      <alignment horizontal="center"/>
    </xf>
    <xf numFmtId="3" fontId="11" fillId="8" borderId="8" xfId="5" applyNumberFormat="1" applyBorder="1" applyAlignment="1">
      <alignment horizontal="center"/>
    </xf>
    <xf numFmtId="3" fontId="11" fillId="8" borderId="9" xfId="5" applyNumberFormat="1" applyBorder="1" applyAlignment="1">
      <alignment horizontal="center"/>
    </xf>
    <xf numFmtId="3" fontId="12" fillId="3" borderId="10" xfId="3" applyNumberFormat="1" applyBorder="1" applyAlignment="1" applyProtection="1">
      <alignment horizontal="center"/>
      <protection locked="0"/>
    </xf>
    <xf numFmtId="165" fontId="12" fillId="3" borderId="4" xfId="3" applyNumberFormat="1" applyBorder="1" applyAlignment="1" applyProtection="1">
      <alignment horizontal="center"/>
      <protection locked="0"/>
    </xf>
    <xf numFmtId="165" fontId="12" fillId="3" borderId="5" xfId="3" applyNumberFormat="1" applyBorder="1" applyAlignment="1" applyProtection="1">
      <alignment horizontal="center"/>
      <protection locked="0"/>
    </xf>
    <xf numFmtId="165" fontId="12" fillId="3" borderId="6" xfId="3" applyNumberFormat="1" applyBorder="1" applyAlignment="1" applyProtection="1">
      <alignment horizontal="center"/>
      <protection locked="0"/>
    </xf>
    <xf numFmtId="165" fontId="12" fillId="3" borderId="8" xfId="3" applyNumberFormat="1" applyBorder="1" applyAlignment="1" applyProtection="1">
      <alignment horizontal="center"/>
      <protection locked="0"/>
    </xf>
    <xf numFmtId="165" fontId="12" fillId="3" borderId="9" xfId="3" applyNumberFormat="1" applyBorder="1" applyAlignment="1" applyProtection="1">
      <alignment horizontal="center"/>
      <protection locked="0"/>
    </xf>
    <xf numFmtId="4" fontId="11" fillId="8" borderId="1" xfId="5" applyNumberFormat="1" applyBorder="1" applyAlignment="1">
      <alignment horizontal="center"/>
    </xf>
    <xf numFmtId="3" fontId="13" fillId="9" borderId="13" xfId="4" applyNumberFormat="1" applyBorder="1" applyAlignment="1">
      <alignment horizontal="center"/>
    </xf>
    <xf numFmtId="3" fontId="13" fillId="9" borderId="14" xfId="4" applyNumberFormat="1" applyBorder="1" applyAlignment="1">
      <alignment horizontal="center"/>
    </xf>
    <xf numFmtId="3" fontId="13" fillId="9" borderId="15" xfId="4" applyNumberFormat="1" applyBorder="1" applyAlignment="1">
      <alignment horizontal="center"/>
    </xf>
    <xf numFmtId="4" fontId="13" fillId="9" borderId="4" xfId="4" applyNumberFormat="1" applyBorder="1" applyAlignment="1">
      <alignment horizontal="center"/>
    </xf>
    <xf numFmtId="4" fontId="13" fillId="9" borderId="5" xfId="4" applyNumberFormat="1" applyBorder="1" applyAlignment="1">
      <alignment horizontal="center"/>
    </xf>
    <xf numFmtId="4" fontId="13" fillId="9" borderId="6" xfId="4" applyNumberFormat="1" applyBorder="1" applyAlignment="1">
      <alignment horizontal="center"/>
    </xf>
    <xf numFmtId="3" fontId="13" fillId="9" borderId="7" xfId="4" applyNumberFormat="1" applyBorder="1" applyAlignment="1">
      <alignment horizontal="center"/>
    </xf>
    <xf numFmtId="3" fontId="13" fillId="9" borderId="8" xfId="4" applyNumberFormat="1" applyBorder="1" applyAlignment="1">
      <alignment horizontal="center"/>
    </xf>
    <xf numFmtId="3" fontId="13" fillId="9" borderId="9" xfId="4" applyNumberFormat="1" applyBorder="1" applyAlignment="1">
      <alignment horizontal="center"/>
    </xf>
    <xf numFmtId="2" fontId="12" fillId="3" borderId="7" xfId="3" applyNumberFormat="1" applyBorder="1" applyAlignment="1" applyProtection="1">
      <alignment horizontal="center"/>
      <protection locked="0"/>
    </xf>
    <xf numFmtId="2" fontId="12" fillId="3" borderId="8" xfId="3" applyNumberFormat="1" applyBorder="1" applyAlignment="1" applyProtection="1">
      <alignment horizontal="center"/>
      <protection locked="0"/>
    </xf>
    <xf numFmtId="2" fontId="12" fillId="3" borderId="9" xfId="3" applyNumberFormat="1" applyBorder="1" applyAlignment="1" applyProtection="1">
      <alignment horizontal="center"/>
      <protection locked="0"/>
    </xf>
    <xf numFmtId="3" fontId="12" fillId="3" borderId="1" xfId="3" applyNumberFormat="1" applyBorder="1" applyAlignment="1" applyProtection="1">
      <alignment horizontal="center"/>
      <protection locked="0"/>
    </xf>
    <xf numFmtId="3" fontId="12" fillId="3" borderId="3" xfId="3" applyNumberFormat="1" applyBorder="1" applyAlignment="1" applyProtection="1">
      <alignment horizontal="center"/>
      <protection locked="0"/>
    </xf>
    <xf numFmtId="0" fontId="0" fillId="7" borderId="0" xfId="0" applyFill="1"/>
    <xf numFmtId="165" fontId="12" fillId="3" borderId="7" xfId="3" applyNumberFormat="1" applyBorder="1" applyAlignment="1" applyProtection="1">
      <alignment horizontal="center"/>
      <protection locked="0"/>
    </xf>
    <xf numFmtId="165" fontId="12" fillId="3" borderId="8" xfId="3" applyNumberFormat="1" applyBorder="1" applyAlignment="1" applyProtection="1">
      <alignment horizontal="center"/>
      <protection locked="0"/>
    </xf>
    <xf numFmtId="165" fontId="12" fillId="3" borderId="5" xfId="3" applyNumberFormat="1" applyBorder="1" applyAlignment="1" applyProtection="1">
      <alignment horizontal="center"/>
      <protection locked="0"/>
    </xf>
    <xf numFmtId="0" fontId="6" fillId="0" borderId="0" xfId="0" applyFont="1"/>
    <xf numFmtId="3" fontId="12" fillId="3" borderId="8" xfId="3" applyNumberFormat="1" applyBorder="1" applyAlignment="1" applyProtection="1">
      <alignment horizontal="center"/>
      <protection locked="0"/>
    </xf>
    <xf numFmtId="3" fontId="12" fillId="3" borderId="7" xfId="3" applyNumberFormat="1" applyBorder="1" applyAlignment="1" applyProtection="1">
      <alignment horizontal="center"/>
      <protection locked="0"/>
    </xf>
    <xf numFmtId="3" fontId="12" fillId="3" borderId="2" xfId="3" applyNumberFormat="1" applyBorder="1" applyAlignment="1" applyProtection="1">
      <alignment horizontal="center"/>
      <protection locked="0"/>
    </xf>
    <xf numFmtId="3" fontId="12" fillId="3" borderId="9" xfId="3" applyNumberFormat="1" applyBorder="1" applyAlignment="1" applyProtection="1">
      <alignment horizontal="center"/>
      <protection locked="0"/>
    </xf>
    <xf numFmtId="3" fontId="2" fillId="6" borderId="10" xfId="0" applyNumberFormat="1" applyFont="1" applyFill="1" applyBorder="1" applyAlignment="1">
      <alignment horizontal="center"/>
    </xf>
    <xf numFmtId="3" fontId="13" fillId="9" borderId="4" xfId="4" applyNumberFormat="1" applyBorder="1" applyAlignment="1">
      <alignment horizontal="center"/>
    </xf>
    <xf numFmtId="3" fontId="13" fillId="9" borderId="5" xfId="4" applyNumberFormat="1" applyBorder="1" applyAlignment="1">
      <alignment horizontal="center"/>
    </xf>
    <xf numFmtId="3" fontId="12" fillId="3" borderId="4" xfId="3" applyNumberFormat="1" applyBorder="1" applyAlignment="1">
      <alignment horizontal="center"/>
    </xf>
    <xf numFmtId="3" fontId="12" fillId="3" borderId="5" xfId="3" applyNumberFormat="1" applyBorder="1" applyAlignment="1">
      <alignment horizontal="center"/>
    </xf>
    <xf numFmtId="3" fontId="12" fillId="3" borderId="6" xfId="3" applyNumberFormat="1" applyBorder="1" applyAlignment="1">
      <alignment horizontal="center"/>
    </xf>
    <xf numFmtId="3" fontId="12" fillId="3" borderId="7" xfId="3" applyNumberFormat="1" applyBorder="1" applyAlignment="1">
      <alignment horizontal="center"/>
    </xf>
    <xf numFmtId="3" fontId="12" fillId="3" borderId="8" xfId="3" applyNumberFormat="1" applyBorder="1" applyAlignment="1">
      <alignment horizontal="center"/>
    </xf>
    <xf numFmtId="3" fontId="12" fillId="3" borderId="9" xfId="3" applyNumberFormat="1" applyBorder="1" applyAlignment="1">
      <alignment horizontal="center"/>
    </xf>
    <xf numFmtId="3" fontId="14" fillId="3" borderId="4" xfId="3" applyNumberFormat="1" applyFont="1" applyBorder="1" applyAlignment="1">
      <alignment horizontal="center"/>
    </xf>
    <xf numFmtId="3" fontId="14" fillId="3" borderId="5" xfId="3" applyNumberFormat="1" applyFont="1" applyBorder="1" applyAlignment="1">
      <alignment horizontal="center"/>
    </xf>
    <xf numFmtId="3" fontId="14" fillId="3" borderId="6" xfId="3" applyNumberFormat="1" applyFont="1" applyBorder="1" applyAlignment="1">
      <alignment horizontal="center"/>
    </xf>
    <xf numFmtId="3" fontId="14" fillId="3" borderId="7" xfId="3" applyNumberFormat="1" applyFont="1" applyBorder="1" applyAlignment="1">
      <alignment horizontal="center"/>
    </xf>
    <xf numFmtId="3" fontId="14" fillId="3" borderId="8" xfId="3" applyNumberFormat="1" applyFont="1" applyBorder="1" applyAlignment="1">
      <alignment horizontal="center"/>
    </xf>
    <xf numFmtId="3" fontId="14" fillId="3" borderId="9" xfId="3" applyNumberFormat="1" applyFont="1" applyBorder="1" applyAlignment="1">
      <alignment horizontal="center"/>
    </xf>
    <xf numFmtId="3" fontId="14" fillId="3" borderId="10" xfId="3" applyNumberFormat="1" applyFont="1" applyBorder="1" applyAlignment="1">
      <alignment horizontal="center"/>
    </xf>
    <xf numFmtId="3" fontId="14" fillId="3" borderId="11" xfId="3" applyNumberFormat="1" applyFont="1" applyBorder="1" applyAlignment="1">
      <alignment horizontal="center"/>
    </xf>
    <xf numFmtId="3" fontId="14" fillId="3" borderId="12" xfId="3" applyNumberFormat="1" applyFont="1" applyBorder="1" applyAlignment="1">
      <alignment horizontal="center"/>
    </xf>
    <xf numFmtId="3" fontId="13" fillId="9" borderId="6" xfId="4" applyNumberFormat="1" applyBorder="1" applyAlignment="1">
      <alignment horizontal="center"/>
    </xf>
    <xf numFmtId="3" fontId="13" fillId="9" borderId="1" xfId="4" applyNumberFormat="1" applyBorder="1" applyAlignment="1">
      <alignment horizontal="center"/>
    </xf>
    <xf numFmtId="3" fontId="13" fillId="9" borderId="2" xfId="4" applyNumberFormat="1" applyBorder="1" applyAlignment="1">
      <alignment horizontal="center"/>
    </xf>
    <xf numFmtId="3" fontId="13" fillId="9" borderId="3" xfId="4" applyNumberFormat="1" applyBorder="1" applyAlignment="1">
      <alignment horizontal="center"/>
    </xf>
    <xf numFmtId="4" fontId="13" fillId="9" borderId="7" xfId="4" applyNumberFormat="1" applyBorder="1" applyAlignment="1">
      <alignment horizontal="center"/>
    </xf>
    <xf numFmtId="4" fontId="13" fillId="9" borderId="8" xfId="4" applyNumberFormat="1" applyBorder="1" applyAlignment="1">
      <alignment horizontal="center"/>
    </xf>
    <xf numFmtId="4" fontId="13" fillId="9" borderId="9" xfId="4" applyNumberFormat="1" applyBorder="1" applyAlignment="1">
      <alignment horizontal="center"/>
    </xf>
    <xf numFmtId="4" fontId="13" fillId="9" borderId="10" xfId="4" applyNumberFormat="1" applyBorder="1" applyAlignment="1">
      <alignment horizontal="center"/>
    </xf>
    <xf numFmtId="4" fontId="13" fillId="9" borderId="11" xfId="4" applyNumberFormat="1" applyBorder="1" applyAlignment="1">
      <alignment horizontal="center"/>
    </xf>
    <xf numFmtId="4" fontId="13" fillId="9" borderId="12" xfId="4" applyNumberFormat="1" applyBorder="1" applyAlignment="1">
      <alignment horizontal="center"/>
    </xf>
    <xf numFmtId="3" fontId="11" fillId="8" borderId="11" xfId="5" applyNumberFormat="1" applyBorder="1" applyAlignment="1">
      <alignment horizontal="center"/>
    </xf>
    <xf numFmtId="3" fontId="3" fillId="6" borderId="5" xfId="0" applyNumberFormat="1" applyFont="1" applyFill="1" applyBorder="1" applyAlignment="1">
      <alignment horizontal="center"/>
    </xf>
    <xf numFmtId="3" fontId="3" fillId="6" borderId="8" xfId="0" applyNumberFormat="1" applyFont="1" applyFill="1" applyBorder="1" applyAlignment="1">
      <alignment horizontal="center"/>
    </xf>
    <xf numFmtId="3" fontId="3" fillId="6" borderId="11" xfId="0" applyNumberFormat="1" applyFont="1" applyFill="1" applyBorder="1" applyAlignment="1">
      <alignment horizontal="center"/>
    </xf>
    <xf numFmtId="0" fontId="3" fillId="10" borderId="0" xfId="0" applyFont="1" applyFill="1" applyAlignment="1">
      <alignment horizontal="right"/>
    </xf>
    <xf numFmtId="3" fontId="12" fillId="3" borderId="1" xfId="3" applyNumberFormat="1" applyBorder="1" applyAlignment="1">
      <alignment horizontal="center"/>
    </xf>
    <xf numFmtId="3" fontId="12" fillId="3" borderId="2" xfId="3" applyNumberFormat="1" applyBorder="1" applyAlignment="1">
      <alignment horizontal="center"/>
    </xf>
    <xf numFmtId="4" fontId="12" fillId="3" borderId="7" xfId="3" applyNumberFormat="1" applyBorder="1" applyAlignment="1">
      <alignment horizontal="center"/>
    </xf>
    <xf numFmtId="4" fontId="12" fillId="3" borderId="10" xfId="3" applyNumberFormat="1" applyBorder="1" applyAlignment="1">
      <alignment horizontal="center"/>
    </xf>
    <xf numFmtId="4" fontId="12" fillId="3" borderId="8" xfId="3" applyNumberFormat="1" applyBorder="1" applyAlignment="1">
      <alignment horizontal="center"/>
    </xf>
    <xf numFmtId="4" fontId="12" fillId="3" borderId="11" xfId="3" applyNumberFormat="1" applyBorder="1" applyAlignment="1">
      <alignment horizontal="center"/>
    </xf>
    <xf numFmtId="4" fontId="12" fillId="3" borderId="12" xfId="3" applyNumberFormat="1" applyBorder="1" applyAlignment="1">
      <alignment horizontal="center"/>
    </xf>
    <xf numFmtId="3" fontId="11" fillId="8" borderId="17" xfId="5" applyNumberFormat="1" applyBorder="1" applyAlignment="1">
      <alignment horizontal="center" vertical="center"/>
    </xf>
    <xf numFmtId="3" fontId="11" fillId="8" borderId="16" xfId="5" applyNumberFormat="1" applyBorder="1" applyAlignment="1">
      <alignment horizontal="center" vertical="center"/>
    </xf>
    <xf numFmtId="3" fontId="11" fillId="8" borderId="10" xfId="5" applyNumberFormat="1" applyBorder="1" applyAlignment="1">
      <alignment horizontal="center"/>
    </xf>
    <xf numFmtId="3" fontId="11" fillId="8" borderId="12" xfId="5" applyNumberFormat="1" applyBorder="1" applyAlignment="1">
      <alignment horizontal="center"/>
    </xf>
    <xf numFmtId="3" fontId="12" fillId="7" borderId="0" xfId="3" applyNumberFormat="1" applyFill="1" applyAlignment="1">
      <alignment horizontal="center"/>
    </xf>
    <xf numFmtId="165" fontId="12" fillId="3" borderId="4" xfId="3" applyNumberFormat="1" applyBorder="1" applyAlignment="1">
      <alignment horizontal="center"/>
    </xf>
    <xf numFmtId="165" fontId="12" fillId="3" borderId="5" xfId="3" applyNumberFormat="1" applyBorder="1" applyAlignment="1">
      <alignment horizontal="center"/>
    </xf>
    <xf numFmtId="165" fontId="12" fillId="3" borderId="6" xfId="3" applyNumberFormat="1" applyBorder="1" applyAlignment="1">
      <alignment horizontal="center"/>
    </xf>
    <xf numFmtId="3" fontId="12" fillId="3" borderId="23" xfId="3" applyNumberFormat="1" applyBorder="1" applyAlignment="1">
      <alignment horizontal="center"/>
    </xf>
    <xf numFmtId="3" fontId="12" fillId="3" borderId="24" xfId="3" applyNumberFormat="1" applyBorder="1" applyAlignment="1">
      <alignment horizontal="center"/>
    </xf>
    <xf numFmtId="3" fontId="12" fillId="3" borderId="25" xfId="3" applyNumberFormat="1" applyBorder="1" applyAlignment="1">
      <alignment horizontal="center"/>
    </xf>
    <xf numFmtId="3" fontId="12" fillId="3" borderId="27" xfId="3" applyNumberFormat="1" applyBorder="1" applyAlignment="1">
      <alignment horizontal="center"/>
    </xf>
    <xf numFmtId="3" fontId="12" fillId="3" borderId="28" xfId="3" applyNumberFormat="1" applyBorder="1" applyAlignment="1">
      <alignment horizontal="center"/>
    </xf>
    <xf numFmtId="3" fontId="12" fillId="3" borderId="29" xfId="3" applyNumberFormat="1" applyBorder="1" applyAlignment="1">
      <alignment horizontal="center"/>
    </xf>
    <xf numFmtId="3" fontId="12" fillId="3" borderId="30" xfId="3" applyNumberFormat="1" applyBorder="1" applyAlignment="1">
      <alignment horizontal="center"/>
    </xf>
    <xf numFmtId="3" fontId="12" fillId="3" borderId="31" xfId="3" applyNumberFormat="1" applyBorder="1" applyAlignment="1">
      <alignment horizontal="center"/>
    </xf>
    <xf numFmtId="0" fontId="12" fillId="3" borderId="26" xfId="3" applyBorder="1"/>
    <xf numFmtId="0" fontId="12" fillId="3" borderId="27" xfId="3" applyBorder="1"/>
    <xf numFmtId="4" fontId="12" fillId="3" borderId="7" xfId="3" applyNumberFormat="1" applyFont="1" applyBorder="1" applyAlignment="1">
      <alignment horizontal="center"/>
    </xf>
    <xf numFmtId="4" fontId="12" fillId="3" borderId="8" xfId="3" applyNumberFormat="1" applyFont="1" applyBorder="1" applyAlignment="1">
      <alignment horizontal="center"/>
    </xf>
    <xf numFmtId="4" fontId="12" fillId="3" borderId="9" xfId="3" applyNumberFormat="1" applyFont="1" applyBorder="1" applyAlignment="1">
      <alignment horizontal="center"/>
    </xf>
    <xf numFmtId="4" fontId="12" fillId="3" borderId="10" xfId="3" applyNumberFormat="1" applyFont="1" applyBorder="1" applyAlignment="1">
      <alignment horizontal="center"/>
    </xf>
    <xf numFmtId="4" fontId="12" fillId="3" borderId="11" xfId="3" applyNumberFormat="1" applyFont="1" applyBorder="1" applyAlignment="1">
      <alignment horizontal="center"/>
    </xf>
    <xf numFmtId="4" fontId="12" fillId="3" borderId="12" xfId="3" applyNumberFormat="1" applyFont="1" applyBorder="1" applyAlignment="1">
      <alignment horizontal="center"/>
    </xf>
    <xf numFmtId="4" fontId="12" fillId="3" borderId="4" xfId="3" applyNumberFormat="1" applyBorder="1" applyAlignment="1">
      <alignment horizontal="center"/>
    </xf>
    <xf numFmtId="4" fontId="12" fillId="3" borderId="5" xfId="3" applyNumberFormat="1" applyBorder="1" applyAlignment="1">
      <alignment horizontal="center"/>
    </xf>
    <xf numFmtId="4" fontId="12" fillId="3" borderId="6" xfId="3" applyNumberFormat="1" applyBorder="1" applyAlignment="1">
      <alignment horizontal="center"/>
    </xf>
    <xf numFmtId="0" fontId="2" fillId="11" borderId="0" xfId="0" applyFont="1" applyFill="1"/>
    <xf numFmtId="165" fontId="12" fillId="3" borderId="7" xfId="3" applyNumberFormat="1" applyBorder="1" applyAlignment="1">
      <alignment horizontal="center"/>
    </xf>
    <xf numFmtId="165" fontId="12" fillId="3" borderId="8" xfId="3" applyNumberFormat="1" applyBorder="1" applyAlignment="1">
      <alignment horizontal="center"/>
    </xf>
    <xf numFmtId="165" fontId="12" fillId="3" borderId="9" xfId="3" applyNumberForma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165" fontId="2" fillId="0" borderId="23" xfId="1" applyNumberFormat="1" applyFont="1" applyBorder="1" applyAlignment="1">
      <alignment horizontal="center"/>
    </xf>
    <xf numFmtId="165" fontId="2" fillId="0" borderId="24" xfId="1" applyNumberFormat="1" applyFont="1" applyBorder="1" applyAlignment="1">
      <alignment horizontal="center"/>
    </xf>
    <xf numFmtId="165" fontId="2" fillId="0" borderId="25" xfId="1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3" fontId="2" fillId="0" borderId="33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3" fontId="2" fillId="0" borderId="32" xfId="0" applyNumberFormat="1" applyFont="1" applyFill="1" applyBorder="1" applyAlignment="1">
      <alignment horizontal="center"/>
    </xf>
    <xf numFmtId="3" fontId="2" fillId="0" borderId="33" xfId="0" applyNumberFormat="1" applyFont="1" applyFill="1" applyBorder="1" applyAlignment="1">
      <alignment horizontal="center"/>
    </xf>
    <xf numFmtId="3" fontId="2" fillId="0" borderId="34" xfId="0" applyNumberFormat="1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center"/>
    </xf>
    <xf numFmtId="3" fontId="2" fillId="0" borderId="27" xfId="0" applyNumberFormat="1" applyFont="1" applyFill="1" applyBorder="1" applyAlignment="1">
      <alignment horizontal="center"/>
    </xf>
    <xf numFmtId="3" fontId="2" fillId="0" borderId="28" xfId="0" applyNumberFormat="1" applyFont="1" applyFill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15" fillId="7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165" fontId="17" fillId="0" borderId="0" xfId="5" applyNumberFormat="1" applyFont="1" applyFill="1" applyBorder="1" applyAlignment="1">
      <alignment horizontal="center"/>
    </xf>
    <xf numFmtId="165" fontId="11" fillId="8" borderId="22" xfId="5" applyNumberFormat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3" fontId="17" fillId="0" borderId="0" xfId="3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/>
    <xf numFmtId="3" fontId="18" fillId="0" borderId="0" xfId="0" applyNumberFormat="1" applyFont="1" applyFill="1" applyBorder="1" applyAlignment="1">
      <alignment horizontal="center"/>
    </xf>
    <xf numFmtId="168" fontId="17" fillId="0" borderId="0" xfId="3" applyNumberFormat="1" applyFont="1" applyFill="1" applyBorder="1" applyAlignment="1" applyProtection="1">
      <alignment horizontal="center"/>
      <protection locked="0"/>
    </xf>
    <xf numFmtId="3" fontId="12" fillId="3" borderId="35" xfId="3" applyNumberFormat="1" applyBorder="1" applyAlignment="1">
      <alignment horizontal="center"/>
    </xf>
    <xf numFmtId="3" fontId="12" fillId="3" borderId="36" xfId="3" applyNumberFormat="1" applyBorder="1" applyAlignment="1">
      <alignment horizontal="center"/>
    </xf>
    <xf numFmtId="3" fontId="12" fillId="3" borderId="37" xfId="3" applyNumberFormat="1" applyBorder="1" applyAlignment="1">
      <alignment horizontal="center"/>
    </xf>
    <xf numFmtId="3" fontId="3" fillId="4" borderId="38" xfId="0" applyNumberFormat="1" applyFont="1" applyFill="1" applyBorder="1" applyAlignment="1">
      <alignment horizontal="center"/>
    </xf>
    <xf numFmtId="3" fontId="3" fillId="4" borderId="39" xfId="0" applyNumberFormat="1" applyFont="1" applyFill="1" applyBorder="1" applyAlignment="1">
      <alignment horizontal="center"/>
    </xf>
    <xf numFmtId="3" fontId="3" fillId="4" borderId="40" xfId="0" applyNumberFormat="1" applyFont="1" applyFill="1" applyBorder="1" applyAlignment="1">
      <alignment horizontal="center"/>
    </xf>
    <xf numFmtId="0" fontId="16" fillId="0" borderId="0" xfId="0" quotePrefix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</cellXfs>
  <cellStyles count="6">
    <cellStyle name="Bad" xfId="4" builtinId="27" customBuiltin="1"/>
    <cellStyle name="Comma" xfId="2" builtinId="3"/>
    <cellStyle name="Good" xfId="3" builtinId="26" customBuiltin="1"/>
    <cellStyle name="Neutral" xfId="5" builtinId="28" customBuiltin="1"/>
    <cellStyle name="Normal" xfId="0" builtinId="0"/>
    <cellStyle name="Percent" xfId="1" builtinId="5"/>
  </cellStyles>
  <dxfs count="4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S41"/>
  <sheetViews>
    <sheetView showGridLines="0" tabSelected="1" zoomScale="115" zoomScaleNormal="115" workbookViewId="0">
      <selection activeCell="D3" sqref="D3"/>
    </sheetView>
  </sheetViews>
  <sheetFormatPr defaultRowHeight="12" x14ac:dyDescent="0.2"/>
  <cols>
    <col min="1" max="1" width="9.140625" style="1"/>
    <col min="2" max="2" width="18.85546875" style="1" customWidth="1"/>
    <col min="3" max="3" width="13.28515625" style="1" bestFit="1" customWidth="1"/>
    <col min="4" max="17" width="10.7109375" style="1" customWidth="1"/>
    <col min="18" max="18" width="1.7109375" style="1" customWidth="1"/>
    <col min="19" max="16384" width="9.140625" style="1"/>
  </cols>
  <sheetData>
    <row r="1" spans="2:17" ht="8.25" customHeight="1" x14ac:dyDescent="0.2"/>
    <row r="2" spans="2:17" ht="24" x14ac:dyDescent="0.2">
      <c r="B2" s="75" t="s">
        <v>107</v>
      </c>
      <c r="D2" s="72"/>
      <c r="E2" s="71"/>
      <c r="F2" s="71"/>
      <c r="Q2" s="114" t="s">
        <v>113</v>
      </c>
    </row>
    <row r="3" spans="2:17" x14ac:dyDescent="0.2">
      <c r="B3" s="1" t="s">
        <v>0</v>
      </c>
      <c r="C3" s="2"/>
      <c r="D3" s="265">
        <v>8.1760632499999999E-2</v>
      </c>
      <c r="E3" s="70"/>
      <c r="F3" s="61"/>
      <c r="Q3" s="115" t="s">
        <v>114</v>
      </c>
    </row>
    <row r="4" spans="2:17" x14ac:dyDescent="0.2">
      <c r="B4" s="262"/>
      <c r="C4" s="263"/>
      <c r="D4" s="264">
        <v>0</v>
      </c>
      <c r="E4" s="61"/>
      <c r="F4" s="61"/>
      <c r="Q4" s="121" t="s">
        <v>116</v>
      </c>
    </row>
    <row r="5" spans="2:17" x14ac:dyDescent="0.2">
      <c r="B5" s="13"/>
      <c r="C5" s="2"/>
      <c r="D5" s="61"/>
      <c r="E5" s="61"/>
      <c r="F5" s="61"/>
      <c r="Q5" s="122" t="s">
        <v>115</v>
      </c>
    </row>
    <row r="6" spans="2:17" x14ac:dyDescent="0.2">
      <c r="B6" s="73" t="s">
        <v>108</v>
      </c>
      <c r="C6" s="2"/>
      <c r="D6" s="8"/>
      <c r="E6" s="61"/>
      <c r="F6" s="61"/>
    </row>
    <row r="7" spans="2:17" x14ac:dyDescent="0.2">
      <c r="B7" s="1" t="s">
        <v>1</v>
      </c>
      <c r="C7" s="2"/>
      <c r="D7" s="116">
        <v>2.5000000000000001E-2</v>
      </c>
      <c r="E7" s="61"/>
      <c r="F7" s="61"/>
    </row>
    <row r="8" spans="2:17" x14ac:dyDescent="0.2">
      <c r="B8" s="1" t="s">
        <v>2</v>
      </c>
      <c r="C8" s="2"/>
      <c r="D8" s="117">
        <v>3.5000000000000003E-2</v>
      </c>
    </row>
    <row r="9" spans="2:17" x14ac:dyDescent="0.2">
      <c r="C9" s="2"/>
      <c r="D9" s="61"/>
    </row>
    <row r="10" spans="2:17" x14ac:dyDescent="0.2">
      <c r="B10" s="74" t="s">
        <v>38</v>
      </c>
    </row>
    <row r="11" spans="2:17" x14ac:dyDescent="0.2">
      <c r="B11" s="1" t="s">
        <v>9</v>
      </c>
      <c r="C11" s="2" t="s">
        <v>11</v>
      </c>
      <c r="D11" s="148">
        <v>0.5</v>
      </c>
    </row>
    <row r="12" spans="2:17" x14ac:dyDescent="0.2">
      <c r="B12" s="1" t="s">
        <v>10</v>
      </c>
      <c r="C12" s="2" t="s">
        <v>39</v>
      </c>
      <c r="D12" s="119">
        <v>2500</v>
      </c>
    </row>
    <row r="13" spans="2:17" x14ac:dyDescent="0.2">
      <c r="C13" s="2"/>
      <c r="D13" s="61"/>
    </row>
    <row r="14" spans="2:17" x14ac:dyDescent="0.2">
      <c r="B14" s="74" t="s">
        <v>37</v>
      </c>
      <c r="D14" s="3" t="s">
        <v>83</v>
      </c>
      <c r="E14" s="3" t="s">
        <v>40</v>
      </c>
      <c r="F14" s="3" t="s">
        <v>41</v>
      </c>
    </row>
    <row r="15" spans="2:17" s="7" customFormat="1" x14ac:dyDescent="0.2">
      <c r="B15" s="7" t="s">
        <v>29</v>
      </c>
      <c r="C15" s="8" t="s">
        <v>30</v>
      </c>
      <c r="D15" s="118">
        <v>300</v>
      </c>
      <c r="E15" s="118">
        <v>150</v>
      </c>
      <c r="F15" s="118">
        <v>170</v>
      </c>
    </row>
    <row r="16" spans="2:17" s="7" customFormat="1" x14ac:dyDescent="0.2">
      <c r="B16" s="7" t="s">
        <v>3</v>
      </c>
      <c r="C16" s="8" t="s">
        <v>8</v>
      </c>
      <c r="D16" s="123">
        <v>8500</v>
      </c>
      <c r="E16" s="123">
        <v>8500</v>
      </c>
      <c r="F16" s="123">
        <v>8500</v>
      </c>
    </row>
    <row r="17" spans="2:17" s="7" customFormat="1" x14ac:dyDescent="0.2">
      <c r="B17" s="7" t="s">
        <v>4</v>
      </c>
      <c r="C17" s="8" t="s">
        <v>5</v>
      </c>
      <c r="D17" s="123">
        <v>11000</v>
      </c>
      <c r="E17" s="123">
        <v>11000</v>
      </c>
      <c r="F17" s="123">
        <v>11000</v>
      </c>
    </row>
    <row r="18" spans="2:17" s="7" customFormat="1" x14ac:dyDescent="0.2">
      <c r="B18" s="7" t="s">
        <v>6</v>
      </c>
      <c r="C18" s="8" t="s">
        <v>5</v>
      </c>
      <c r="D18" s="123">
        <v>2500</v>
      </c>
      <c r="E18" s="123">
        <v>2500</v>
      </c>
      <c r="F18" s="123">
        <v>2500</v>
      </c>
    </row>
    <row r="19" spans="2:17" x14ac:dyDescent="0.2">
      <c r="B19" s="1" t="s">
        <v>7</v>
      </c>
      <c r="C19" s="2" t="s">
        <v>8</v>
      </c>
      <c r="D19" s="119">
        <v>60000000</v>
      </c>
      <c r="E19" s="69"/>
      <c r="F19" s="69"/>
    </row>
    <row r="20" spans="2:17" x14ac:dyDescent="0.2">
      <c r="D20" s="13"/>
    </row>
    <row r="21" spans="2:17" x14ac:dyDescent="0.2">
      <c r="B21" s="73" t="s">
        <v>25</v>
      </c>
      <c r="C21" s="2"/>
      <c r="D21" s="12"/>
    </row>
    <row r="22" spans="2:17" x14ac:dyDescent="0.2">
      <c r="B22" s="64" t="s">
        <v>83</v>
      </c>
      <c r="E22" s="3" t="s">
        <v>12</v>
      </c>
      <c r="F22" s="3" t="s">
        <v>13</v>
      </c>
      <c r="G22" s="3" t="s">
        <v>14</v>
      </c>
      <c r="H22" s="3" t="s">
        <v>15</v>
      </c>
      <c r="I22" s="3" t="s">
        <v>16</v>
      </c>
      <c r="J22" s="3" t="s">
        <v>17</v>
      </c>
      <c r="K22" s="3" t="s">
        <v>18</v>
      </c>
      <c r="L22" s="3" t="s">
        <v>19</v>
      </c>
      <c r="M22" s="3" t="s">
        <v>20</v>
      </c>
      <c r="N22" s="3" t="s">
        <v>21</v>
      </c>
      <c r="O22" s="3" t="s">
        <v>22</v>
      </c>
      <c r="P22" s="3" t="s">
        <v>23</v>
      </c>
      <c r="Q22" s="3" t="s">
        <v>24</v>
      </c>
    </row>
    <row r="23" spans="2:17" s="7" customFormat="1" x14ac:dyDescent="0.2">
      <c r="B23" s="68" t="s">
        <v>26</v>
      </c>
      <c r="E23" s="127">
        <f>(E24*AVERAGE(Assumptions!$D$17,Assumptions!$D$18)*Assumptions!$D$15)/1000</f>
        <v>28588950</v>
      </c>
      <c r="F23" s="134">
        <f>(F24*AVERAGE(Assumptions!$D$17,Assumptions!$D$18)*Assumptions!$D$15)/1000</f>
        <v>28588950</v>
      </c>
      <c r="G23" s="134">
        <f>(G24*AVERAGE(Assumptions!$D$17,Assumptions!$D$18)*Assumptions!$D$15)/1000</f>
        <v>28588950</v>
      </c>
      <c r="H23" s="134">
        <f>(H24*AVERAGE(Assumptions!$D$17,Assumptions!$D$18)*Assumptions!$D$15)/1000</f>
        <v>28588950</v>
      </c>
      <c r="I23" s="134">
        <f>(I24*AVERAGE(Assumptions!$D$17,Assumptions!$D$18)*Assumptions!$D$15)/1000</f>
        <v>28588950</v>
      </c>
      <c r="J23" s="134">
        <f>(J24*AVERAGE(Assumptions!$D$17,Assumptions!$D$18)*Assumptions!$D$15)/1000</f>
        <v>28588950</v>
      </c>
      <c r="K23" s="134">
        <f>(K24*AVERAGE(Assumptions!$D$17,Assumptions!$D$18)*Assumptions!$D$15)/1000</f>
        <v>28588950</v>
      </c>
      <c r="L23" s="134">
        <f>(L24*AVERAGE(Assumptions!$D$17,Assumptions!$D$18)*Assumptions!$D$15)/1000</f>
        <v>28588950</v>
      </c>
      <c r="M23" s="134">
        <f>(M24*AVERAGE(Assumptions!$D$17,Assumptions!$D$18)*Assumptions!$D$15)/1000</f>
        <v>28588950</v>
      </c>
      <c r="N23" s="134">
        <f>(N24*AVERAGE(Assumptions!$D$17,Assumptions!$D$18)*Assumptions!$D$15)/1000</f>
        <v>28588950</v>
      </c>
      <c r="O23" s="134">
        <f>(O24*AVERAGE(Assumptions!$D$17,Assumptions!$D$18)*Assumptions!$D$15)/1000</f>
        <v>28588950</v>
      </c>
      <c r="P23" s="134">
        <f>(P24*AVERAGE(Assumptions!$D$17,Assumptions!$D$18)*Assumptions!$D$15)/1000</f>
        <v>28588950</v>
      </c>
      <c r="Q23" s="135">
        <f>(Q24*AVERAGE(Assumptions!$D$17,Assumptions!$D$18)*Assumptions!$D$15)/1000</f>
        <v>28588950</v>
      </c>
    </row>
    <row r="24" spans="2:17" x14ac:dyDescent="0.2">
      <c r="B24" s="65" t="s">
        <v>27</v>
      </c>
      <c r="E24" s="128">
        <f>ROUNDUP(E26/Assumptions!$D$16,0)*2</f>
        <v>14118</v>
      </c>
      <c r="F24" s="129">
        <f>ROUNDUP(F26/Assumptions!$D$16,0)*2</f>
        <v>14118</v>
      </c>
      <c r="G24" s="129">
        <f>ROUNDUP(G26/Assumptions!$D$16,0)*2</f>
        <v>14118</v>
      </c>
      <c r="H24" s="129">
        <f>ROUNDUP(H26/Assumptions!$D$16,0)*2</f>
        <v>14118</v>
      </c>
      <c r="I24" s="129">
        <f>ROUNDUP(I26/Assumptions!$D$16,0)*2</f>
        <v>14118</v>
      </c>
      <c r="J24" s="129">
        <f>ROUNDUP(J26/Assumptions!$D$16,0)*2</f>
        <v>14118</v>
      </c>
      <c r="K24" s="129">
        <f>ROUNDUP(K26/Assumptions!$D$16,0)*2</f>
        <v>14118</v>
      </c>
      <c r="L24" s="129">
        <f>ROUNDUP(L26/Assumptions!$D$16,0)*2</f>
        <v>14118</v>
      </c>
      <c r="M24" s="129">
        <f>ROUNDUP(M26/Assumptions!$D$16,0)*2</f>
        <v>14118</v>
      </c>
      <c r="N24" s="129">
        <f>ROUNDUP(N26/Assumptions!$D$16,0)*2</f>
        <v>14118</v>
      </c>
      <c r="O24" s="129">
        <f>ROUNDUP(O26/Assumptions!$D$16,0)*2</f>
        <v>14118</v>
      </c>
      <c r="P24" s="129">
        <f>ROUNDUP(P26/Assumptions!$D$16,0)*2</f>
        <v>14118</v>
      </c>
      <c r="Q24" s="130">
        <f>ROUNDUP(Q26/Assumptions!$D$16,0)*2</f>
        <v>14118</v>
      </c>
    </row>
    <row r="25" spans="2:17" x14ac:dyDescent="0.2">
      <c r="B25" s="65" t="s">
        <v>28</v>
      </c>
      <c r="E25" s="128">
        <f>(E26*Assumptions!$D$15)/1000</f>
        <v>18000000</v>
      </c>
      <c r="F25" s="129">
        <f>(F26*Assumptions!$D$15)/1000</f>
        <v>18000000</v>
      </c>
      <c r="G25" s="129">
        <f>(G26*Assumptions!$D$15)/1000</f>
        <v>18000000</v>
      </c>
      <c r="H25" s="129">
        <f>(H26*Assumptions!$D$15)/1000</f>
        <v>18000000</v>
      </c>
      <c r="I25" s="129">
        <f>(I26*Assumptions!$D$15)/1000</f>
        <v>18000000</v>
      </c>
      <c r="J25" s="129">
        <f>(J26*Assumptions!$D$15)/1000</f>
        <v>18000000</v>
      </c>
      <c r="K25" s="129">
        <f>(K26*Assumptions!$D$15)/1000</f>
        <v>18000000</v>
      </c>
      <c r="L25" s="129">
        <f>(L26*Assumptions!$D$15)/1000</f>
        <v>18000000</v>
      </c>
      <c r="M25" s="129">
        <f>(M26*Assumptions!$D$15)/1000</f>
        <v>18000000</v>
      </c>
      <c r="N25" s="129">
        <f>(N26*Assumptions!$D$15)/1000</f>
        <v>18000000</v>
      </c>
      <c r="O25" s="129">
        <f>(O26*Assumptions!$D$15)/1000</f>
        <v>18000000</v>
      </c>
      <c r="P25" s="129">
        <f>(P26*Assumptions!$D$15)/1000</f>
        <v>18000000</v>
      </c>
      <c r="Q25" s="130">
        <f>(Q26*Assumptions!$D$15)/1000</f>
        <v>18000000</v>
      </c>
    </row>
    <row r="26" spans="2:17" x14ac:dyDescent="0.2">
      <c r="B26" s="65" t="s">
        <v>8</v>
      </c>
      <c r="E26" s="124">
        <f>Assumptions!$D$19</f>
        <v>60000000</v>
      </c>
      <c r="F26" s="125">
        <f>Assumptions!$D$19</f>
        <v>60000000</v>
      </c>
      <c r="G26" s="125">
        <f>Assumptions!$D$19</f>
        <v>60000000</v>
      </c>
      <c r="H26" s="125">
        <f>Assumptions!$D$19</f>
        <v>60000000</v>
      </c>
      <c r="I26" s="125">
        <f>Assumptions!$D$19</f>
        <v>60000000</v>
      </c>
      <c r="J26" s="125">
        <f>Assumptions!$D$19</f>
        <v>60000000</v>
      </c>
      <c r="K26" s="125">
        <f>Assumptions!$D$19</f>
        <v>60000000</v>
      </c>
      <c r="L26" s="125">
        <f>Assumptions!$D$19</f>
        <v>60000000</v>
      </c>
      <c r="M26" s="125">
        <f>Assumptions!$D$19</f>
        <v>60000000</v>
      </c>
      <c r="N26" s="125">
        <f>Assumptions!$D$19</f>
        <v>60000000</v>
      </c>
      <c r="O26" s="125">
        <f>Assumptions!$D$19</f>
        <v>60000000</v>
      </c>
      <c r="P26" s="125">
        <f>Assumptions!$D$19</f>
        <v>60000000</v>
      </c>
      <c r="Q26" s="126">
        <f>Assumptions!$D$19</f>
        <v>60000000</v>
      </c>
    </row>
    <row r="27" spans="2:17" x14ac:dyDescent="0.2">
      <c r="B27" s="65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2:17" x14ac:dyDescent="0.2">
      <c r="B28" s="6" t="s">
        <v>40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7" customFormat="1" x14ac:dyDescent="0.2">
      <c r="B29" s="68" t="s">
        <v>26</v>
      </c>
      <c r="E29" s="120">
        <f>(E30*AVERAGE(Assumptions!$E$17,Assumptions!$E$18)*Assumptions!$E$15)/1000</f>
        <v>5957550</v>
      </c>
      <c r="F29" s="120">
        <f>(F30*AVERAGE(Assumptions!$E$17,Assumptions!$E$18)*Assumptions!$E$15)/1000</f>
        <v>7148250</v>
      </c>
      <c r="G29" s="120">
        <f>(G30*AVERAGE(Assumptions!$E$17,Assumptions!$E$18)*Assumptions!$E$15)/1000</f>
        <v>7148250</v>
      </c>
      <c r="H29" s="120">
        <f>(H30*AVERAGE(Assumptions!$E$17,Assumptions!$E$18)*Assumptions!$E$15)/1000</f>
        <v>7148250</v>
      </c>
      <c r="I29" s="120">
        <f>(I30*AVERAGE(Assumptions!$E$17,Assumptions!$E$18)*Assumptions!$E$15)/1000</f>
        <v>7148250</v>
      </c>
      <c r="J29" s="120">
        <f>(J30*AVERAGE(Assumptions!$E$17,Assumptions!$E$18)*Assumptions!$E$15)/1000</f>
        <v>7148250</v>
      </c>
      <c r="K29" s="120">
        <f>(K30*AVERAGE(Assumptions!$E$17,Assumptions!$E$18)*Assumptions!$E$15)/1000</f>
        <v>7148250</v>
      </c>
      <c r="L29" s="120">
        <f>(L30*AVERAGE(Assumptions!$E$17,Assumptions!$E$18)*Assumptions!$E$15)/1000</f>
        <v>7148250</v>
      </c>
      <c r="M29" s="120">
        <f>(M30*AVERAGE(Assumptions!$E$17,Assumptions!$E$18)*Assumptions!$E$15)/1000</f>
        <v>7148250</v>
      </c>
      <c r="N29" s="120">
        <f>(N30*AVERAGE(Assumptions!$E$17,Assumptions!$E$18)*Assumptions!$E$15)/1000</f>
        <v>7148250</v>
      </c>
      <c r="O29" s="120">
        <f>(O30*AVERAGE(Assumptions!$E$17,Assumptions!$E$18)*Assumptions!$E$15)/1000</f>
        <v>7148250</v>
      </c>
      <c r="P29" s="120">
        <f>(P30*AVERAGE(Assumptions!$E$17,Assumptions!$E$18)*Assumptions!$E$15)/1000</f>
        <v>7148250</v>
      </c>
      <c r="Q29" s="131">
        <f>(Q30*AVERAGE(Assumptions!$E$17,Assumptions!$E$18)*Assumptions!$E$15)/1000</f>
        <v>7148250</v>
      </c>
    </row>
    <row r="30" spans="2:17" x14ac:dyDescent="0.2">
      <c r="B30" s="65" t="s">
        <v>27</v>
      </c>
      <c r="E30" s="132">
        <f>ROUNDUP(E32/Assumptions!$E$16,0)*2</f>
        <v>5884</v>
      </c>
      <c r="F30" s="132">
        <f>ROUNDUP(F32/Assumptions!$E$16,0)*2</f>
        <v>7060</v>
      </c>
      <c r="G30" s="132">
        <f>ROUNDUP(G32/Assumptions!$E$16,0)*2</f>
        <v>7060</v>
      </c>
      <c r="H30" s="132">
        <f>ROUNDUP(H32/Assumptions!$E$16,0)*2</f>
        <v>7060</v>
      </c>
      <c r="I30" s="132">
        <f>ROUNDUP(I32/Assumptions!$E$16,0)*2</f>
        <v>7060</v>
      </c>
      <c r="J30" s="132">
        <f>ROUNDUP(J32/Assumptions!$E$16,0)*2</f>
        <v>7060</v>
      </c>
      <c r="K30" s="132">
        <f>ROUNDUP(K32/Assumptions!$E$16,0)*2</f>
        <v>7060</v>
      </c>
      <c r="L30" s="132">
        <f>ROUNDUP(L32/Assumptions!$E$16,0)*2</f>
        <v>7060</v>
      </c>
      <c r="M30" s="132">
        <f>ROUNDUP(M32/Assumptions!$E$16,0)*2</f>
        <v>7060</v>
      </c>
      <c r="N30" s="132">
        <f>ROUNDUP(N32/Assumptions!$E$16,0)*2</f>
        <v>7060</v>
      </c>
      <c r="O30" s="132">
        <f>ROUNDUP(O32/Assumptions!$E$16,0)*2</f>
        <v>7060</v>
      </c>
      <c r="P30" s="132">
        <f>ROUNDUP(P32/Assumptions!$E$16,0)*2</f>
        <v>7060</v>
      </c>
      <c r="Q30" s="133">
        <f>ROUNDUP(Q32/Assumptions!$E$16,0)*2</f>
        <v>7060</v>
      </c>
    </row>
    <row r="31" spans="2:17" x14ac:dyDescent="0.2">
      <c r="B31" s="65" t="s">
        <v>28</v>
      </c>
      <c r="E31" s="132">
        <f>(E32*Assumptions!$E$15)/1000</f>
        <v>3750000</v>
      </c>
      <c r="F31" s="132">
        <f>(F32*Assumptions!$E$15)/1000</f>
        <v>4500000</v>
      </c>
      <c r="G31" s="132">
        <f>(G32*Assumptions!$E$15)/1000</f>
        <v>4500000</v>
      </c>
      <c r="H31" s="132">
        <f>(H32*Assumptions!$E$15)/1000</f>
        <v>4500000</v>
      </c>
      <c r="I31" s="132">
        <f>(I32*Assumptions!$E$15)/1000</f>
        <v>4500000</v>
      </c>
      <c r="J31" s="132">
        <f>(J32*Assumptions!$E$15)/1000</f>
        <v>4500000</v>
      </c>
      <c r="K31" s="132">
        <f>(K32*Assumptions!$E$15)/1000</f>
        <v>4500000</v>
      </c>
      <c r="L31" s="132">
        <f>(L32*Assumptions!$E$15)/1000</f>
        <v>4500000</v>
      </c>
      <c r="M31" s="132">
        <f>(M32*Assumptions!$E$15)/1000</f>
        <v>4500000</v>
      </c>
      <c r="N31" s="132">
        <f>(N32*Assumptions!$E$15)/1000</f>
        <v>4500000</v>
      </c>
      <c r="O31" s="132">
        <f>(O32*Assumptions!$E$15)/1000</f>
        <v>4500000</v>
      </c>
      <c r="P31" s="132">
        <f>(P32*Assumptions!$E$15)/1000</f>
        <v>4500000</v>
      </c>
      <c r="Q31" s="133">
        <f>(Q32*Assumptions!$E$15)/1000</f>
        <v>4500000</v>
      </c>
    </row>
    <row r="32" spans="2:17" x14ac:dyDescent="0.2">
      <c r="B32" s="65" t="s">
        <v>8</v>
      </c>
      <c r="E32" s="212">
        <v>25000000</v>
      </c>
      <c r="F32" s="212">
        <v>30000000</v>
      </c>
      <c r="G32" s="212">
        <v>30000000</v>
      </c>
      <c r="H32" s="212">
        <v>30000000</v>
      </c>
      <c r="I32" s="212">
        <v>30000000</v>
      </c>
      <c r="J32" s="212">
        <v>30000000</v>
      </c>
      <c r="K32" s="212">
        <v>30000000</v>
      </c>
      <c r="L32" s="212">
        <v>30000000</v>
      </c>
      <c r="M32" s="212">
        <v>30000000</v>
      </c>
      <c r="N32" s="212">
        <v>30000000</v>
      </c>
      <c r="O32" s="212">
        <v>30000000</v>
      </c>
      <c r="P32" s="212">
        <v>30000000</v>
      </c>
      <c r="Q32" s="213">
        <v>30000000</v>
      </c>
    </row>
    <row r="33" spans="2:19" x14ac:dyDescent="0.2">
      <c r="B33" s="6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9" x14ac:dyDescent="0.2">
      <c r="B34" s="64" t="s">
        <v>41</v>
      </c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9" s="7" customFormat="1" x14ac:dyDescent="0.2">
      <c r="B35" s="68" t="s">
        <v>26</v>
      </c>
      <c r="E35" s="161">
        <f>(E36*AVERAGE(Assumptions!$F$17,Assumptions!$F$18)*Assumptions!$F$15)/1000</f>
        <v>0</v>
      </c>
      <c r="F35" s="161">
        <f>(F36*AVERAGE(Assumptions!$F$17,Assumptions!$F$18)*Assumptions!$F$15)/1000</f>
        <v>0</v>
      </c>
      <c r="G35" s="161">
        <f>(G36*AVERAGE(Assumptions!$F$17,Assumptions!$F$18)*Assumptions!$F$15)/1000</f>
        <v>0</v>
      </c>
      <c r="H35" s="161">
        <f>(H36*AVERAGE(Assumptions!$F$17,Assumptions!$F$18)*Assumptions!$F$15)/1000</f>
        <v>0</v>
      </c>
      <c r="I35" s="161">
        <f>(I36*AVERAGE(Assumptions!$F$17,Assumptions!$F$18)*Assumptions!$F$15)/1000</f>
        <v>0</v>
      </c>
      <c r="J35" s="120">
        <f>(J36*AVERAGE(Assumptions!$F$17,Assumptions!$F$18)*Assumptions!$F$15)/1000</f>
        <v>5400135</v>
      </c>
      <c r="K35" s="120">
        <f>(K36*AVERAGE(Assumptions!$F$17,Assumptions!$F$18)*Assumptions!$F$15)/1000</f>
        <v>8101350</v>
      </c>
      <c r="L35" s="120">
        <f>(L36*AVERAGE(Assumptions!$F$17,Assumptions!$F$18)*Assumptions!$F$15)/1000</f>
        <v>8101350</v>
      </c>
      <c r="M35" s="120">
        <f>(M36*AVERAGE(Assumptions!$F$17,Assumptions!$F$18)*Assumptions!$F$15)/1000</f>
        <v>8101350</v>
      </c>
      <c r="N35" s="120">
        <f>(N36*AVERAGE(Assumptions!$F$17,Assumptions!$F$18)*Assumptions!$F$15)/1000</f>
        <v>8101350</v>
      </c>
      <c r="O35" s="120">
        <f>(O36*AVERAGE(Assumptions!$F$17,Assumptions!$F$18)*Assumptions!$F$15)/1000</f>
        <v>8101350</v>
      </c>
      <c r="P35" s="120">
        <f>(P36*AVERAGE(Assumptions!$F$17,Assumptions!$F$18)*Assumptions!$F$15)/1000</f>
        <v>8101350</v>
      </c>
      <c r="Q35" s="120">
        <f>(Q36*AVERAGE(Assumptions!$F$17,Assumptions!$F$18)*Assumptions!$F$15)/1000</f>
        <v>8101350</v>
      </c>
      <c r="S35" s="167"/>
    </row>
    <row r="36" spans="2:19" x14ac:dyDescent="0.2">
      <c r="B36" s="65" t="s">
        <v>27</v>
      </c>
      <c r="E36" s="170">
        <f>ROUNDUP(E38/Assumptions!$F$16,0)*2</f>
        <v>0</v>
      </c>
      <c r="F36" s="170">
        <f>ROUNDUP(F38/Assumptions!$F$16,0)*2</f>
        <v>0</v>
      </c>
      <c r="G36" s="170">
        <f>ROUNDUP(G38/Assumptions!$F$16,0)*2</f>
        <v>0</v>
      </c>
      <c r="H36" s="170">
        <f>ROUNDUP(H38/Assumptions!$F$16,0)*2</f>
        <v>0</v>
      </c>
      <c r="I36" s="170">
        <f>ROUNDUP(I38/Assumptions!$F$16,0)*2</f>
        <v>0</v>
      </c>
      <c r="J36" s="132">
        <f>ROUNDUP(J38/Assumptions!$F$16,0)*2</f>
        <v>4706</v>
      </c>
      <c r="K36" s="132">
        <f>ROUNDUP(K38/Assumptions!$F$16,0)*2</f>
        <v>7060</v>
      </c>
      <c r="L36" s="132">
        <f>ROUNDUP(L38/Assumptions!$F$16,0)*2</f>
        <v>7060</v>
      </c>
      <c r="M36" s="132">
        <f>ROUNDUP(M38/Assumptions!$F$16,0)*2</f>
        <v>7060</v>
      </c>
      <c r="N36" s="132">
        <f>ROUNDUP(N38/Assumptions!$F$16,0)*2</f>
        <v>7060</v>
      </c>
      <c r="O36" s="132">
        <f>ROUNDUP(O38/Assumptions!$F$16,0)*2</f>
        <v>7060</v>
      </c>
      <c r="P36" s="132">
        <f>ROUNDUP(P38/Assumptions!$F$16,0)*2</f>
        <v>7060</v>
      </c>
      <c r="Q36" s="132">
        <f>ROUNDUP(Q38/Assumptions!$F$16,0)*2</f>
        <v>7060</v>
      </c>
      <c r="S36" s="167"/>
    </row>
    <row r="37" spans="2:19" x14ac:dyDescent="0.2">
      <c r="B37" s="65" t="s">
        <v>28</v>
      </c>
      <c r="E37" s="170">
        <f>(E38*Assumptions!$F$15)/1000</f>
        <v>0</v>
      </c>
      <c r="F37" s="170">
        <f>(F38*Assumptions!$F$15)/1000</f>
        <v>0</v>
      </c>
      <c r="G37" s="170">
        <f>(G38*Assumptions!$F$15)/1000</f>
        <v>0</v>
      </c>
      <c r="H37" s="170">
        <f>(H38*Assumptions!$F$15)/1000</f>
        <v>0</v>
      </c>
      <c r="I37" s="170">
        <f>(I38*Assumptions!$F$15)/1000</f>
        <v>0</v>
      </c>
      <c r="J37" s="132">
        <f>(J38*Assumptions!$F$15)/1000</f>
        <v>3400000</v>
      </c>
      <c r="K37" s="132">
        <f>(K38*Assumptions!$F$15)/1000</f>
        <v>5100000</v>
      </c>
      <c r="L37" s="132">
        <f>(L38*Assumptions!$F$15)/1000</f>
        <v>5100000</v>
      </c>
      <c r="M37" s="132">
        <f>(M38*Assumptions!$F$15)/1000</f>
        <v>5100000</v>
      </c>
      <c r="N37" s="132">
        <f>(N38*Assumptions!$F$15)/1000</f>
        <v>5100000</v>
      </c>
      <c r="O37" s="132">
        <f>(O38*Assumptions!$F$15)/1000</f>
        <v>5100000</v>
      </c>
      <c r="P37" s="132">
        <f>(P38*Assumptions!$F$15)/1000</f>
        <v>5100000</v>
      </c>
      <c r="Q37" s="132">
        <f>(Q38*Assumptions!$F$15)/1000</f>
        <v>5100000</v>
      </c>
      <c r="S37" s="167"/>
    </row>
    <row r="38" spans="2:19" x14ac:dyDescent="0.2">
      <c r="B38" s="65" t="s">
        <v>8</v>
      </c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20000000</v>
      </c>
      <c r="K38" s="212">
        <v>30000000</v>
      </c>
      <c r="L38" s="212">
        <v>30000000</v>
      </c>
      <c r="M38" s="212">
        <v>30000000</v>
      </c>
      <c r="N38" s="212">
        <v>30000000</v>
      </c>
      <c r="O38" s="212">
        <v>30000000</v>
      </c>
      <c r="P38" s="212">
        <v>30000000</v>
      </c>
      <c r="Q38" s="212">
        <v>30000000</v>
      </c>
    </row>
    <row r="39" spans="2:19" x14ac:dyDescent="0.2"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9" x14ac:dyDescent="0.2">
      <c r="B40" s="1" t="s">
        <v>127</v>
      </c>
      <c r="E40" s="136">
        <v>13480</v>
      </c>
      <c r="F40" s="137">
        <v>14696</v>
      </c>
      <c r="G40" s="137">
        <v>15063</v>
      </c>
      <c r="H40" s="137">
        <v>15440</v>
      </c>
      <c r="I40" s="137">
        <v>15826</v>
      </c>
      <c r="J40" s="137">
        <v>20620</v>
      </c>
      <c r="K40" s="137">
        <v>23391</v>
      </c>
      <c r="L40" s="137">
        <v>23976</v>
      </c>
      <c r="M40" s="137">
        <v>24575</v>
      </c>
      <c r="N40" s="137">
        <v>25190</v>
      </c>
      <c r="O40" s="137">
        <v>25819</v>
      </c>
      <c r="P40" s="137">
        <v>26465</v>
      </c>
      <c r="Q40" s="138">
        <v>27127</v>
      </c>
      <c r="S40" s="167"/>
    </row>
    <row r="41" spans="2:19" x14ac:dyDescent="0.2">
      <c r="B41" s="1" t="s">
        <v>128</v>
      </c>
      <c r="E41" s="214">
        <v>21958</v>
      </c>
      <c r="F41" s="200">
        <v>23958</v>
      </c>
      <c r="G41" s="200">
        <v>24797</v>
      </c>
      <c r="H41" s="200">
        <v>25665</v>
      </c>
      <c r="I41" s="200">
        <v>26563</v>
      </c>
      <c r="J41" s="200">
        <v>33907</v>
      </c>
      <c r="K41" s="200">
        <v>38414</v>
      </c>
      <c r="L41" s="200">
        <v>39758</v>
      </c>
      <c r="M41" s="200">
        <v>41150</v>
      </c>
      <c r="N41" s="200">
        <v>42590</v>
      </c>
      <c r="O41" s="200">
        <v>44081</v>
      </c>
      <c r="P41" s="200">
        <v>45623</v>
      </c>
      <c r="Q41" s="215">
        <v>47220</v>
      </c>
      <c r="S41" s="16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AE76"/>
  <sheetViews>
    <sheetView showGridLines="0" topLeftCell="A40" zoomScale="130" zoomScaleNormal="130" workbookViewId="0">
      <selection activeCell="B31" sqref="B31"/>
    </sheetView>
  </sheetViews>
  <sheetFormatPr defaultRowHeight="12" x14ac:dyDescent="0.2"/>
  <cols>
    <col min="1" max="1" width="1.7109375" style="1" customWidth="1"/>
    <col min="2" max="2" width="30.7109375" style="1" customWidth="1"/>
    <col min="3" max="4" width="1.7109375" style="1" customWidth="1"/>
    <col min="5" max="17" width="10.7109375" style="1" customWidth="1"/>
    <col min="18" max="18" width="1.7109375" style="1" customWidth="1"/>
    <col min="19" max="23" width="12" style="1" bestFit="1" customWidth="1"/>
    <col min="24" max="31" width="12.85546875" style="1" bestFit="1" customWidth="1"/>
    <col min="32" max="16384" width="9.140625" style="1"/>
  </cols>
  <sheetData>
    <row r="2" spans="2:17" x14ac:dyDescent="0.2">
      <c r="B2" s="11" t="s">
        <v>46</v>
      </c>
      <c r="C2" s="11"/>
      <c r="D2" s="11"/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3" t="s">
        <v>24</v>
      </c>
    </row>
    <row r="3" spans="2:17" x14ac:dyDescent="0.2">
      <c r="B3" s="10" t="s">
        <v>42</v>
      </c>
      <c r="C3" s="10"/>
      <c r="D3" s="10"/>
      <c r="E3" s="136">
        <v>149669</v>
      </c>
      <c r="F3" s="137">
        <v>151909</v>
      </c>
      <c r="G3" s="137">
        <v>154211</v>
      </c>
      <c r="H3" s="137">
        <v>156577</v>
      </c>
      <c r="I3" s="137">
        <v>158580</v>
      </c>
      <c r="J3" s="137">
        <v>160965</v>
      </c>
      <c r="K3" s="137">
        <v>163415</v>
      </c>
      <c r="L3" s="137">
        <v>165936</v>
      </c>
      <c r="M3" s="137">
        <v>167608</v>
      </c>
      <c r="N3" s="137">
        <v>170145</v>
      </c>
      <c r="O3" s="137">
        <v>172754</v>
      </c>
      <c r="P3" s="137">
        <v>175443</v>
      </c>
      <c r="Q3" s="138">
        <v>175999</v>
      </c>
    </row>
    <row r="4" spans="2:17" x14ac:dyDescent="0.2">
      <c r="B4" s="10" t="s">
        <v>43</v>
      </c>
      <c r="C4" s="10"/>
      <c r="D4" s="10"/>
      <c r="E4" s="139">
        <v>34805</v>
      </c>
      <c r="F4" s="140">
        <v>56786</v>
      </c>
      <c r="G4" s="140">
        <v>57205</v>
      </c>
      <c r="H4" s="140">
        <v>57609</v>
      </c>
      <c r="I4" s="140">
        <v>54736</v>
      </c>
      <c r="J4" s="140">
        <v>55214</v>
      </c>
      <c r="K4" s="140">
        <v>57632</v>
      </c>
      <c r="L4" s="140">
        <v>58710</v>
      </c>
      <c r="M4" s="140">
        <v>55679</v>
      </c>
      <c r="N4" s="140">
        <v>56610</v>
      </c>
      <c r="O4" s="140">
        <v>57514</v>
      </c>
      <c r="P4" s="140">
        <v>58390</v>
      </c>
      <c r="Q4" s="141">
        <v>57272</v>
      </c>
    </row>
    <row r="5" spans="2:17" x14ac:dyDescent="0.2">
      <c r="B5" s="10" t="s">
        <v>44</v>
      </c>
      <c r="C5" s="10"/>
      <c r="D5" s="10"/>
      <c r="E5" s="28"/>
      <c r="F5" s="29"/>
      <c r="G5" s="29"/>
      <c r="H5" s="29"/>
      <c r="I5" s="29"/>
      <c r="J5" s="140">
        <v>24456</v>
      </c>
      <c r="K5" s="140">
        <v>41687</v>
      </c>
      <c r="L5" s="140">
        <v>42206</v>
      </c>
      <c r="M5" s="140">
        <v>40880</v>
      </c>
      <c r="N5" s="140">
        <v>41458</v>
      </c>
      <c r="O5" s="140">
        <v>42058</v>
      </c>
      <c r="P5" s="140">
        <v>43929</v>
      </c>
      <c r="Q5" s="141">
        <v>42564</v>
      </c>
    </row>
    <row r="6" spans="2:17" x14ac:dyDescent="0.2">
      <c r="B6" s="11" t="s">
        <v>45</v>
      </c>
      <c r="C6" s="11"/>
      <c r="D6" s="11"/>
      <c r="E6" s="31">
        <f t="shared" ref="E6:Q6" si="0">SUM(E3:E5)</f>
        <v>184474</v>
      </c>
      <c r="F6" s="32">
        <f t="shared" si="0"/>
        <v>208695</v>
      </c>
      <c r="G6" s="32">
        <f t="shared" si="0"/>
        <v>211416</v>
      </c>
      <c r="H6" s="32">
        <f t="shared" si="0"/>
        <v>214186</v>
      </c>
      <c r="I6" s="32">
        <f t="shared" si="0"/>
        <v>213316</v>
      </c>
      <c r="J6" s="32">
        <f t="shared" si="0"/>
        <v>240635</v>
      </c>
      <c r="K6" s="32">
        <f t="shared" si="0"/>
        <v>262734</v>
      </c>
      <c r="L6" s="32">
        <f t="shared" si="0"/>
        <v>266852</v>
      </c>
      <c r="M6" s="32">
        <f t="shared" si="0"/>
        <v>264167</v>
      </c>
      <c r="N6" s="32">
        <f t="shared" si="0"/>
        <v>268213</v>
      </c>
      <c r="O6" s="32">
        <f t="shared" si="0"/>
        <v>272326</v>
      </c>
      <c r="P6" s="32">
        <f t="shared" si="0"/>
        <v>277762</v>
      </c>
      <c r="Q6" s="33">
        <f t="shared" si="0"/>
        <v>275835</v>
      </c>
    </row>
    <row r="7" spans="2:17" x14ac:dyDescent="0.2">
      <c r="B7" s="11"/>
      <c r="C7" s="11"/>
      <c r="D7" s="1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x14ac:dyDescent="0.2">
      <c r="B8" s="11" t="s">
        <v>65</v>
      </c>
      <c r="C8" s="11"/>
      <c r="D8" s="11"/>
      <c r="E8" s="3" t="s">
        <v>12</v>
      </c>
      <c r="F8" s="3" t="s">
        <v>13</v>
      </c>
      <c r="G8" s="3" t="s">
        <v>14</v>
      </c>
      <c r="H8" s="3" t="s">
        <v>15</v>
      </c>
      <c r="I8" s="3" t="s">
        <v>16</v>
      </c>
      <c r="J8" s="3" t="s">
        <v>17</v>
      </c>
      <c r="K8" s="3" t="s">
        <v>18</v>
      </c>
      <c r="L8" s="3" t="s">
        <v>19</v>
      </c>
      <c r="M8" s="3" t="s">
        <v>20</v>
      </c>
      <c r="N8" s="3" t="s">
        <v>21</v>
      </c>
      <c r="O8" s="3" t="s">
        <v>22</v>
      </c>
      <c r="P8" s="3" t="s">
        <v>23</v>
      </c>
      <c r="Q8" s="3" t="s">
        <v>24</v>
      </c>
    </row>
    <row r="9" spans="2:17" x14ac:dyDescent="0.2">
      <c r="B9" s="10" t="s">
        <v>66</v>
      </c>
      <c r="C9" s="10"/>
      <c r="D9" s="10"/>
      <c r="E9" s="136">
        <v>124478.790266935</v>
      </c>
      <c r="F9" s="137">
        <v>125929.29539296908</v>
      </c>
      <c r="G9" s="137">
        <v>127415.35588325732</v>
      </c>
      <c r="H9" s="137">
        <v>128940.21821740354</v>
      </c>
      <c r="I9" s="137">
        <v>130075.5496746139</v>
      </c>
      <c r="J9" s="137">
        <v>131563.88144351507</v>
      </c>
      <c r="K9" s="137">
        <v>133089.01927238036</v>
      </c>
      <c r="L9" s="137">
        <v>134655.15653049384</v>
      </c>
      <c r="M9" s="137">
        <v>135341.01980721654</v>
      </c>
      <c r="N9" s="137">
        <v>136860.60634046869</v>
      </c>
      <c r="O9" s="137">
        <v>138420.17678424151</v>
      </c>
      <c r="P9" s="137">
        <v>140025.07201368126</v>
      </c>
      <c r="Q9" s="138">
        <v>139462.15668618664</v>
      </c>
    </row>
    <row r="10" spans="2:17" x14ac:dyDescent="0.2">
      <c r="B10" s="10" t="s">
        <v>67</v>
      </c>
      <c r="C10" s="10"/>
      <c r="D10" s="10"/>
      <c r="E10" s="139">
        <v>24558.065524682825</v>
      </c>
      <c r="F10" s="140">
        <v>44112.167268795369</v>
      </c>
      <c r="G10" s="140">
        <v>44139.916550854017</v>
      </c>
      <c r="H10" s="140">
        <v>44141.483192472588</v>
      </c>
      <c r="I10" s="140">
        <v>40852.105504689527</v>
      </c>
      <c r="J10" s="140">
        <v>40900.926246350136</v>
      </c>
      <c r="K10" s="140">
        <v>42875.856280882952</v>
      </c>
      <c r="L10" s="140">
        <v>43497.126314392088</v>
      </c>
      <c r="M10" s="140">
        <v>39995.71122675731</v>
      </c>
      <c r="N10" s="140">
        <v>40440.506456885669</v>
      </c>
      <c r="O10" s="140">
        <v>40842.025608859309</v>
      </c>
      <c r="P10" s="140">
        <v>41200.528116427959</v>
      </c>
      <c r="Q10" s="141">
        <v>39548.677637751425</v>
      </c>
    </row>
    <row r="11" spans="2:17" x14ac:dyDescent="0.2">
      <c r="B11" s="10" t="s">
        <v>68</v>
      </c>
      <c r="C11" s="10"/>
      <c r="D11" s="10"/>
      <c r="E11" s="28"/>
      <c r="F11" s="29"/>
      <c r="G11" s="29"/>
      <c r="H11" s="29"/>
      <c r="I11" s="29"/>
      <c r="J11" s="140">
        <v>13643.369735934903</v>
      </c>
      <c r="K11" s="140">
        <v>24964.251142229208</v>
      </c>
      <c r="L11" s="140">
        <v>24965.137189097255</v>
      </c>
      <c r="M11" s="140">
        <v>23104.760978262013</v>
      </c>
      <c r="N11" s="140">
        <v>23132.372567748389</v>
      </c>
      <c r="O11" s="140">
        <v>23163.805604731708</v>
      </c>
      <c r="P11" s="140">
        <v>24447.432890815518</v>
      </c>
      <c r="Q11" s="141">
        <v>22477.352823693469</v>
      </c>
    </row>
    <row r="12" spans="2:17" x14ac:dyDescent="0.2">
      <c r="B12" s="11" t="s">
        <v>45</v>
      </c>
      <c r="C12" s="11"/>
      <c r="D12" s="11"/>
      <c r="E12" s="31">
        <f t="shared" ref="E12:Q12" si="1">SUM(E9:E11)</f>
        <v>149036.85579161783</v>
      </c>
      <c r="F12" s="32">
        <f t="shared" si="1"/>
        <v>170041.46266176447</v>
      </c>
      <c r="G12" s="32">
        <f t="shared" si="1"/>
        <v>171555.27243411134</v>
      </c>
      <c r="H12" s="32">
        <f t="shared" si="1"/>
        <v>173081.70140987611</v>
      </c>
      <c r="I12" s="32">
        <f t="shared" si="1"/>
        <v>170927.65517930343</v>
      </c>
      <c r="J12" s="32">
        <f t="shared" si="1"/>
        <v>186108.17742580012</v>
      </c>
      <c r="K12" s="32">
        <f t="shared" si="1"/>
        <v>200929.12669549254</v>
      </c>
      <c r="L12" s="32">
        <f t="shared" si="1"/>
        <v>203117.42003398319</v>
      </c>
      <c r="M12" s="32">
        <f t="shared" si="1"/>
        <v>198441.49201223586</v>
      </c>
      <c r="N12" s="32">
        <f t="shared" si="1"/>
        <v>200433.48536510274</v>
      </c>
      <c r="O12" s="32">
        <f t="shared" si="1"/>
        <v>202426.00799783255</v>
      </c>
      <c r="P12" s="32">
        <f t="shared" si="1"/>
        <v>205673.03302092475</v>
      </c>
      <c r="Q12" s="33">
        <f t="shared" si="1"/>
        <v>201488.18714763154</v>
      </c>
    </row>
    <row r="13" spans="2:17" x14ac:dyDescent="0.2">
      <c r="B13" s="11"/>
      <c r="C13" s="11"/>
      <c r="D13" s="1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262" customFormat="1" hidden="1" x14ac:dyDescent="0.2">
      <c r="B14" s="266"/>
      <c r="C14" s="266"/>
      <c r="D14" s="266"/>
      <c r="E14" s="267" t="s">
        <v>12</v>
      </c>
      <c r="F14" s="267" t="s">
        <v>13</v>
      </c>
      <c r="G14" s="267" t="s">
        <v>14</v>
      </c>
      <c r="H14" s="267" t="s">
        <v>15</v>
      </c>
      <c r="I14" s="267" t="s">
        <v>16</v>
      </c>
      <c r="J14" s="267" t="s">
        <v>17</v>
      </c>
      <c r="K14" s="267" t="s">
        <v>18</v>
      </c>
      <c r="L14" s="267" t="s">
        <v>19</v>
      </c>
      <c r="M14" s="267" t="s">
        <v>20</v>
      </c>
      <c r="N14" s="267" t="s">
        <v>21</v>
      </c>
      <c r="O14" s="267" t="s">
        <v>22</v>
      </c>
      <c r="P14" s="267" t="s">
        <v>23</v>
      </c>
      <c r="Q14" s="267" t="s">
        <v>24</v>
      </c>
    </row>
    <row r="15" spans="2:17" s="262" customFormat="1" hidden="1" x14ac:dyDescent="0.2">
      <c r="B15" s="268"/>
      <c r="C15" s="268"/>
      <c r="D15" s="268"/>
      <c r="E15" s="269">
        <f>Assumptions!$D$4*E9</f>
        <v>0</v>
      </c>
      <c r="F15" s="269">
        <f>Assumptions!$D$4*F9</f>
        <v>0</v>
      </c>
      <c r="G15" s="269">
        <f>Assumptions!$D$4*G9</f>
        <v>0</v>
      </c>
      <c r="H15" s="269">
        <f>Assumptions!$D$4*H9</f>
        <v>0</v>
      </c>
      <c r="I15" s="269">
        <f>Assumptions!$D$4*I9</f>
        <v>0</v>
      </c>
      <c r="J15" s="269">
        <f>Assumptions!$D$4*J9</f>
        <v>0</v>
      </c>
      <c r="K15" s="269">
        <f>Assumptions!$D$4*K9</f>
        <v>0</v>
      </c>
      <c r="L15" s="269">
        <f>Assumptions!$D$4*L9</f>
        <v>0</v>
      </c>
      <c r="M15" s="269">
        <f>Assumptions!$D$4*M9</f>
        <v>0</v>
      </c>
      <c r="N15" s="269">
        <f>Assumptions!$D$4*N9</f>
        <v>0</v>
      </c>
      <c r="O15" s="269">
        <f>Assumptions!$D$4*O9</f>
        <v>0</v>
      </c>
      <c r="P15" s="269">
        <f>Assumptions!$D$4*P9</f>
        <v>0</v>
      </c>
      <c r="Q15" s="269">
        <f>Assumptions!$D$4*Q9</f>
        <v>0</v>
      </c>
    </row>
    <row r="16" spans="2:17" s="262" customFormat="1" hidden="1" x14ac:dyDescent="0.2">
      <c r="B16" s="268"/>
      <c r="C16" s="268"/>
      <c r="D16" s="268"/>
      <c r="E16" s="269">
        <f>Assumptions!$D$4*E10</f>
        <v>0</v>
      </c>
      <c r="F16" s="269">
        <f>Assumptions!$D$4*F10</f>
        <v>0</v>
      </c>
      <c r="G16" s="269">
        <f>Assumptions!$D$4*G10</f>
        <v>0</v>
      </c>
      <c r="H16" s="269">
        <f>Assumptions!$D$4*H10</f>
        <v>0</v>
      </c>
      <c r="I16" s="269">
        <f>Assumptions!$D$4*I10</f>
        <v>0</v>
      </c>
      <c r="J16" s="269">
        <f>Assumptions!$D$4*J10</f>
        <v>0</v>
      </c>
      <c r="K16" s="269">
        <f>Assumptions!$D$4*K10</f>
        <v>0</v>
      </c>
      <c r="L16" s="269">
        <f>Assumptions!$D$4*L10</f>
        <v>0</v>
      </c>
      <c r="M16" s="269">
        <f>Assumptions!$D$4*M10</f>
        <v>0</v>
      </c>
      <c r="N16" s="269">
        <f>Assumptions!$D$4*N10</f>
        <v>0</v>
      </c>
      <c r="O16" s="269">
        <f>Assumptions!$D$4*O10</f>
        <v>0</v>
      </c>
      <c r="P16" s="269">
        <f>Assumptions!$D$4*P10</f>
        <v>0</v>
      </c>
      <c r="Q16" s="269">
        <f>Assumptions!$D$4*Q10</f>
        <v>0</v>
      </c>
    </row>
    <row r="17" spans="2:20" s="262" customFormat="1" hidden="1" x14ac:dyDescent="0.2">
      <c r="B17" s="268"/>
      <c r="C17" s="268"/>
      <c r="D17" s="268"/>
      <c r="E17" s="269">
        <f>Assumptions!$D$4*E11</f>
        <v>0</v>
      </c>
      <c r="F17" s="269">
        <f>Assumptions!$D$4*F11</f>
        <v>0</v>
      </c>
      <c r="G17" s="269">
        <f>Assumptions!$D$4*G11</f>
        <v>0</v>
      </c>
      <c r="H17" s="269">
        <f>Assumptions!$D$4*H11</f>
        <v>0</v>
      </c>
      <c r="I17" s="269">
        <f>Assumptions!$D$4*I11</f>
        <v>0</v>
      </c>
      <c r="J17" s="269">
        <f>Assumptions!$D$4*J11</f>
        <v>0</v>
      </c>
      <c r="K17" s="269">
        <f>Assumptions!$D$4*K11</f>
        <v>0</v>
      </c>
      <c r="L17" s="269">
        <f>Assumptions!$D$4*L11</f>
        <v>0</v>
      </c>
      <c r="M17" s="269">
        <f>Assumptions!$D$4*M11</f>
        <v>0</v>
      </c>
      <c r="N17" s="269">
        <f>Assumptions!$D$4*N11</f>
        <v>0</v>
      </c>
      <c r="O17" s="269">
        <f>Assumptions!$D$4*O11</f>
        <v>0</v>
      </c>
      <c r="P17" s="269">
        <f>Assumptions!$D$4*P11</f>
        <v>0</v>
      </c>
      <c r="Q17" s="269">
        <f>Assumptions!$D$4*Q11</f>
        <v>0</v>
      </c>
      <c r="S17" s="270"/>
    </row>
    <row r="18" spans="2:20" s="262" customFormat="1" hidden="1" x14ac:dyDescent="0.2">
      <c r="B18" s="266"/>
      <c r="C18" s="266"/>
      <c r="D18" s="266"/>
      <c r="E18" s="271">
        <f>SUM(E15:E17)</f>
        <v>0</v>
      </c>
      <c r="F18" s="271">
        <f t="shared" ref="F18:Q18" si="2">SUM(F15:F17)</f>
        <v>0</v>
      </c>
      <c r="G18" s="271">
        <f t="shared" si="2"/>
        <v>0</v>
      </c>
      <c r="H18" s="271">
        <f t="shared" si="2"/>
        <v>0</v>
      </c>
      <c r="I18" s="271">
        <f t="shared" si="2"/>
        <v>0</v>
      </c>
      <c r="J18" s="271">
        <f t="shared" si="2"/>
        <v>0</v>
      </c>
      <c r="K18" s="271">
        <f t="shared" si="2"/>
        <v>0</v>
      </c>
      <c r="L18" s="271">
        <f t="shared" si="2"/>
        <v>0</v>
      </c>
      <c r="M18" s="271">
        <f t="shared" si="2"/>
        <v>0</v>
      </c>
      <c r="N18" s="271">
        <f t="shared" si="2"/>
        <v>0</v>
      </c>
      <c r="O18" s="271">
        <f t="shared" si="2"/>
        <v>0</v>
      </c>
      <c r="P18" s="271">
        <f t="shared" si="2"/>
        <v>0</v>
      </c>
      <c r="Q18" s="271">
        <f t="shared" si="2"/>
        <v>0</v>
      </c>
    </row>
    <row r="19" spans="2:20" x14ac:dyDescent="0.2">
      <c r="B19" s="11"/>
      <c r="C19" s="11"/>
      <c r="D19" s="1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T19" s="14"/>
    </row>
    <row r="20" spans="2:20" x14ac:dyDescent="0.2">
      <c r="B20" s="11" t="s">
        <v>117</v>
      </c>
      <c r="C20" s="11"/>
      <c r="D20" s="11"/>
      <c r="E20" s="3" t="s">
        <v>12</v>
      </c>
      <c r="F20" s="3" t="s">
        <v>13</v>
      </c>
      <c r="G20" s="3" t="s">
        <v>14</v>
      </c>
      <c r="H20" s="3" t="s">
        <v>15</v>
      </c>
      <c r="I20" s="3" t="s">
        <v>16</v>
      </c>
      <c r="J20" s="3" t="s">
        <v>17</v>
      </c>
      <c r="K20" s="3" t="s">
        <v>18</v>
      </c>
      <c r="L20" s="3" t="s">
        <v>19</v>
      </c>
      <c r="M20" s="3" t="s">
        <v>20</v>
      </c>
      <c r="N20" s="3" t="s">
        <v>21</v>
      </c>
      <c r="O20" s="3" t="s">
        <v>22</v>
      </c>
      <c r="P20" s="3" t="s">
        <v>23</v>
      </c>
      <c r="Q20" s="3" t="s">
        <v>24</v>
      </c>
    </row>
    <row r="21" spans="2:20" x14ac:dyDescent="0.2">
      <c r="B21" s="10" t="s">
        <v>118</v>
      </c>
      <c r="C21" s="10"/>
      <c r="D21" s="10"/>
      <c r="E21" s="143">
        <f t="shared" ref="E21:F23" si="3">MAX(0,(E9-E15)/(E$12-E$18))</f>
        <v>0.83522152695558927</v>
      </c>
      <c r="F21" s="144">
        <f t="shared" si="3"/>
        <v>0.74057993516239939</v>
      </c>
      <c r="G21" s="166">
        <f t="shared" ref="G21:L21" si="4">MAX(0,(G9-G15)/(G$12-G$18))</f>
        <v>0.74270731569729698</v>
      </c>
      <c r="H21" s="166">
        <f t="shared" si="4"/>
        <v>0.74496736031071942</v>
      </c>
      <c r="I21" s="166">
        <f t="shared" si="4"/>
        <v>0.76099768371691756</v>
      </c>
      <c r="J21" s="166">
        <f t="shared" si="4"/>
        <v>0.70692155102087639</v>
      </c>
      <c r="K21" s="166">
        <f t="shared" si="4"/>
        <v>0.6623679775111766</v>
      </c>
      <c r="L21" s="166">
        <f t="shared" si="4"/>
        <v>0.66294243254943341</v>
      </c>
      <c r="M21" s="166">
        <f>MAX(0,(M9-M15)/(M$12-M$18))</f>
        <v>0.68201976529621855</v>
      </c>
      <c r="N21" s="166">
        <f t="shared" ref="N21" si="5">MAX(0,(N9-N15)/(N$12-N$18))</f>
        <v>0.68282306267921311</v>
      </c>
      <c r="O21" s="166">
        <f>MAX(0,(O9-O15)/(O$12-O$18))</f>
        <v>0.68380628632326546</v>
      </c>
      <c r="P21" s="166">
        <f t="shared" ref="P21" si="6">MAX(0,(P9-P15)/(P$12-P$18))</f>
        <v>0.68081395969609393</v>
      </c>
      <c r="Q21" s="145">
        <f>MAX(0,(Q9-Q15)/(Q$12-Q$18))</f>
        <v>0.69216046191334246</v>
      </c>
      <c r="S21" s="167"/>
    </row>
    <row r="22" spans="2:20" x14ac:dyDescent="0.2">
      <c r="B22" s="10" t="s">
        <v>119</v>
      </c>
      <c r="C22" s="10"/>
      <c r="D22" s="10"/>
      <c r="E22" s="164">
        <f t="shared" si="3"/>
        <v>0.16477847304441071</v>
      </c>
      <c r="F22" s="146">
        <f t="shared" si="3"/>
        <v>0.25942006483760055</v>
      </c>
      <c r="G22" s="165">
        <f t="shared" ref="G22:L22" si="7">MAX(0,(G10-G16)/(G$12-G$18))</f>
        <v>0.25729268430270302</v>
      </c>
      <c r="H22" s="165">
        <f t="shared" si="7"/>
        <v>0.25503263968928064</v>
      </c>
      <c r="I22" s="165">
        <f t="shared" si="7"/>
        <v>0.23900231628308241</v>
      </c>
      <c r="J22" s="165">
        <f t="shared" si="7"/>
        <v>0.21976963512340567</v>
      </c>
      <c r="K22" s="165">
        <f t="shared" si="7"/>
        <v>0.21338795915766448</v>
      </c>
      <c r="L22" s="165">
        <f t="shared" si="7"/>
        <v>0.214147690075596</v>
      </c>
      <c r="M22" s="165">
        <f>MAX(0,(M10-M16)/(M$12-M$18))</f>
        <v>0.20154913582433245</v>
      </c>
      <c r="N22" s="165">
        <f t="shared" ref="N22" si="8">MAX(0,(N10-N16)/(N$12-N$18))</f>
        <v>0.20176522093212437</v>
      </c>
      <c r="O22" s="165">
        <f>MAX(0,(O10-O16)/(O$12-O$18))</f>
        <v>0.20176273796446462</v>
      </c>
      <c r="P22" s="165">
        <f t="shared" ref="P22" si="9">MAX(0,(P10-P16)/(P$12-P$18))</f>
        <v>0.20032051606997162</v>
      </c>
      <c r="Q22" s="147">
        <f>MAX(0,(Q10-Q16)/(Q$12-Q$18))</f>
        <v>0.19628286004069254</v>
      </c>
      <c r="S22" s="167"/>
    </row>
    <row r="23" spans="2:20" x14ac:dyDescent="0.2">
      <c r="B23" s="10" t="s">
        <v>120</v>
      </c>
      <c r="C23" s="10"/>
      <c r="D23" s="10"/>
      <c r="E23" s="164">
        <f t="shared" si="3"/>
        <v>0</v>
      </c>
      <c r="F23" s="165">
        <f t="shared" si="3"/>
        <v>0</v>
      </c>
      <c r="G23" s="165">
        <f t="shared" ref="G23:L23" si="10">MAX(0,(G11-G17)/(G$12-G$18))</f>
        <v>0</v>
      </c>
      <c r="H23" s="165">
        <f t="shared" si="10"/>
        <v>0</v>
      </c>
      <c r="I23" s="165">
        <f t="shared" si="10"/>
        <v>0</v>
      </c>
      <c r="J23" s="165">
        <f t="shared" si="10"/>
        <v>7.33088138557179E-2</v>
      </c>
      <c r="K23" s="165">
        <f t="shared" si="10"/>
        <v>0.12424406333115881</v>
      </c>
      <c r="L23" s="165">
        <f t="shared" si="10"/>
        <v>0.12290987737497053</v>
      </c>
      <c r="M23" s="165">
        <f>MAX(0,(M11-M17)/(M$12-M$18))</f>
        <v>0.11643109887944895</v>
      </c>
      <c r="N23" s="165">
        <f t="shared" ref="N23" si="11">MAX(0,(N11-N17)/(N$12-N$18))</f>
        <v>0.11541171638866259</v>
      </c>
      <c r="O23" s="165">
        <f>MAX(0,(O11-O17)/(O$12-O$18))</f>
        <v>0.11443097571226979</v>
      </c>
      <c r="P23" s="165">
        <f t="shared" ref="P23" si="12">MAX(0,(P11-P17)/(P$12-P$18))</f>
        <v>0.11886552423393439</v>
      </c>
      <c r="Q23" s="147">
        <f>MAX(0,(Q11-Q17)/(Q$12-Q$18))</f>
        <v>0.11155667804596497</v>
      </c>
      <c r="S23" s="167"/>
    </row>
    <row r="24" spans="2:20" x14ac:dyDescent="0.2">
      <c r="B24" s="11" t="s">
        <v>45</v>
      </c>
      <c r="C24" s="11"/>
      <c r="D24" s="11"/>
      <c r="E24" s="41">
        <f t="shared" ref="E24:Q24" si="13">SUM(E21:E23)</f>
        <v>1</v>
      </c>
      <c r="F24" s="42">
        <f t="shared" si="13"/>
        <v>1</v>
      </c>
      <c r="G24" s="42">
        <f t="shared" si="13"/>
        <v>1</v>
      </c>
      <c r="H24" s="42">
        <f t="shared" si="13"/>
        <v>1</v>
      </c>
      <c r="I24" s="42">
        <f t="shared" si="13"/>
        <v>1</v>
      </c>
      <c r="J24" s="42">
        <f t="shared" si="13"/>
        <v>0.99999999999999989</v>
      </c>
      <c r="K24" s="42">
        <f t="shared" si="13"/>
        <v>0.99999999999999989</v>
      </c>
      <c r="L24" s="42">
        <f t="shared" si="13"/>
        <v>0.99999999999999989</v>
      </c>
      <c r="M24" s="42">
        <f t="shared" si="13"/>
        <v>0.99999999999999989</v>
      </c>
      <c r="N24" s="42">
        <f t="shared" si="13"/>
        <v>1</v>
      </c>
      <c r="O24" s="42">
        <f t="shared" si="13"/>
        <v>0.99999999999999989</v>
      </c>
      <c r="P24" s="42">
        <f t="shared" si="13"/>
        <v>0.99999999999999989</v>
      </c>
      <c r="Q24" s="43">
        <f t="shared" si="13"/>
        <v>1</v>
      </c>
    </row>
    <row r="25" spans="2:20" x14ac:dyDescent="0.2">
      <c r="B25" s="11"/>
      <c r="C25" s="11"/>
      <c r="D25" s="11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2:20" x14ac:dyDescent="0.2">
      <c r="B26" s="11" t="s">
        <v>75</v>
      </c>
      <c r="C26" s="11"/>
      <c r="D26" s="11"/>
      <c r="E26" s="3" t="s">
        <v>12</v>
      </c>
      <c r="F26" s="3" t="s">
        <v>13</v>
      </c>
      <c r="G26" s="3" t="s">
        <v>14</v>
      </c>
      <c r="H26" s="3" t="s">
        <v>15</v>
      </c>
      <c r="I26" s="3" t="s">
        <v>16</v>
      </c>
      <c r="J26" s="3" t="s">
        <v>17</v>
      </c>
      <c r="K26" s="3" t="s">
        <v>18</v>
      </c>
      <c r="L26" s="3" t="s">
        <v>19</v>
      </c>
      <c r="M26" s="3" t="s">
        <v>20</v>
      </c>
      <c r="N26" s="3" t="s">
        <v>21</v>
      </c>
      <c r="O26" s="3" t="s">
        <v>22</v>
      </c>
      <c r="P26" s="3" t="s">
        <v>23</v>
      </c>
      <c r="Q26" s="3" t="s">
        <v>24</v>
      </c>
    </row>
    <row r="27" spans="2:20" x14ac:dyDescent="0.2">
      <c r="B27" s="10" t="s">
        <v>69</v>
      </c>
      <c r="C27" s="10"/>
      <c r="D27" s="10"/>
      <c r="E27" s="127">
        <f t="shared" ref="E27:Q27" si="14">E9-E15</f>
        <v>124478.790266935</v>
      </c>
      <c r="F27" s="134">
        <f t="shared" si="14"/>
        <v>125929.29539296908</v>
      </c>
      <c r="G27" s="134">
        <f t="shared" si="14"/>
        <v>127415.35588325732</v>
      </c>
      <c r="H27" s="134">
        <f t="shared" si="14"/>
        <v>128940.21821740354</v>
      </c>
      <c r="I27" s="134">
        <f t="shared" si="14"/>
        <v>130075.5496746139</v>
      </c>
      <c r="J27" s="134">
        <f t="shared" si="14"/>
        <v>131563.88144351507</v>
      </c>
      <c r="K27" s="134">
        <f t="shared" si="14"/>
        <v>133089.01927238036</v>
      </c>
      <c r="L27" s="134">
        <f t="shared" si="14"/>
        <v>134655.15653049384</v>
      </c>
      <c r="M27" s="134">
        <f t="shared" si="14"/>
        <v>135341.01980721654</v>
      </c>
      <c r="N27" s="134">
        <f t="shared" si="14"/>
        <v>136860.60634046869</v>
      </c>
      <c r="O27" s="134">
        <f t="shared" si="14"/>
        <v>138420.17678424151</v>
      </c>
      <c r="P27" s="134">
        <f t="shared" si="14"/>
        <v>140025.07201368126</v>
      </c>
      <c r="Q27" s="135">
        <f t="shared" si="14"/>
        <v>139462.15668618664</v>
      </c>
    </row>
    <row r="28" spans="2:20" x14ac:dyDescent="0.2">
      <c r="B28" s="10" t="s">
        <v>70</v>
      </c>
      <c r="C28" s="10"/>
      <c r="D28" s="10"/>
      <c r="E28" s="100">
        <f>E10-E16</f>
        <v>24558.065524682825</v>
      </c>
      <c r="F28" s="101">
        <f t="shared" ref="F28:Q29" si="15">F10-F16</f>
        <v>44112.167268795369</v>
      </c>
      <c r="G28" s="101">
        <f t="shared" si="15"/>
        <v>44139.916550854017</v>
      </c>
      <c r="H28" s="101">
        <f t="shared" si="15"/>
        <v>44141.483192472588</v>
      </c>
      <c r="I28" s="101">
        <f t="shared" si="15"/>
        <v>40852.105504689527</v>
      </c>
      <c r="J28" s="101">
        <f t="shared" si="15"/>
        <v>40900.926246350136</v>
      </c>
      <c r="K28" s="101">
        <f t="shared" si="15"/>
        <v>42875.856280882952</v>
      </c>
      <c r="L28" s="101">
        <f t="shared" si="15"/>
        <v>43497.126314392088</v>
      </c>
      <c r="M28" s="101">
        <f t="shared" si="15"/>
        <v>39995.71122675731</v>
      </c>
      <c r="N28" s="101">
        <f t="shared" si="15"/>
        <v>40440.506456885669</v>
      </c>
      <c r="O28" s="101">
        <f t="shared" si="15"/>
        <v>40842.025608859309</v>
      </c>
      <c r="P28" s="101">
        <f t="shared" si="15"/>
        <v>41200.528116427959</v>
      </c>
      <c r="Q28" s="102">
        <f t="shared" si="15"/>
        <v>39548.677637751425</v>
      </c>
    </row>
    <row r="29" spans="2:20" x14ac:dyDescent="0.2">
      <c r="B29" s="10" t="s">
        <v>71</v>
      </c>
      <c r="C29" s="10"/>
      <c r="D29" s="10"/>
      <c r="E29" s="100">
        <f>E11-E17</f>
        <v>0</v>
      </c>
      <c r="F29" s="101">
        <f t="shared" si="15"/>
        <v>0</v>
      </c>
      <c r="G29" s="101">
        <f t="shared" si="15"/>
        <v>0</v>
      </c>
      <c r="H29" s="101">
        <f t="shared" si="15"/>
        <v>0</v>
      </c>
      <c r="I29" s="101">
        <f t="shared" si="15"/>
        <v>0</v>
      </c>
      <c r="J29" s="101">
        <f t="shared" ref="J29:Q29" si="16">J11-J17</f>
        <v>13643.369735934903</v>
      </c>
      <c r="K29" s="101">
        <f>K11-K17</f>
        <v>24964.251142229208</v>
      </c>
      <c r="L29" s="101">
        <f t="shared" si="16"/>
        <v>24965.137189097255</v>
      </c>
      <c r="M29" s="101">
        <f t="shared" si="16"/>
        <v>23104.760978262013</v>
      </c>
      <c r="N29" s="101">
        <f t="shared" si="16"/>
        <v>23132.372567748389</v>
      </c>
      <c r="O29" s="101">
        <f t="shared" si="16"/>
        <v>23163.805604731708</v>
      </c>
      <c r="P29" s="101">
        <f t="shared" si="16"/>
        <v>24447.432890815518</v>
      </c>
      <c r="Q29" s="102">
        <f t="shared" si="16"/>
        <v>22477.352823693469</v>
      </c>
      <c r="S29" s="167"/>
    </row>
    <row r="30" spans="2:20" s="7" customFormat="1" x14ac:dyDescent="0.2">
      <c r="B30" s="76" t="s">
        <v>45</v>
      </c>
      <c r="C30" s="76"/>
      <c r="D30" s="76"/>
      <c r="E30" s="97">
        <f t="shared" ref="E30:Q30" si="17">SUM(E27:E29)</f>
        <v>149036.85579161783</v>
      </c>
      <c r="F30" s="98">
        <f t="shared" si="17"/>
        <v>170041.46266176447</v>
      </c>
      <c r="G30" s="98">
        <f t="shared" si="17"/>
        <v>171555.27243411134</v>
      </c>
      <c r="H30" s="98">
        <f t="shared" si="17"/>
        <v>173081.70140987611</v>
      </c>
      <c r="I30" s="98">
        <f t="shared" si="17"/>
        <v>170927.65517930343</v>
      </c>
      <c r="J30" s="98">
        <f t="shared" si="17"/>
        <v>186108.17742580012</v>
      </c>
      <c r="K30" s="98">
        <f t="shared" si="17"/>
        <v>200929.12669549254</v>
      </c>
      <c r="L30" s="98">
        <f t="shared" si="17"/>
        <v>203117.42003398319</v>
      </c>
      <c r="M30" s="98">
        <f t="shared" si="17"/>
        <v>198441.49201223586</v>
      </c>
      <c r="N30" s="98">
        <f t="shared" si="17"/>
        <v>200433.48536510274</v>
      </c>
      <c r="O30" s="98">
        <f t="shared" si="17"/>
        <v>202426.00799783255</v>
      </c>
      <c r="P30" s="98">
        <f t="shared" si="17"/>
        <v>205673.03302092475</v>
      </c>
      <c r="Q30" s="99">
        <f t="shared" si="17"/>
        <v>201488.18714763154</v>
      </c>
    </row>
    <row r="31" spans="2:20" x14ac:dyDescent="0.2">
      <c r="B31" s="11"/>
      <c r="C31" s="11"/>
      <c r="D31" s="11"/>
      <c r="E31" s="19"/>
      <c r="F31" s="19"/>
      <c r="G31" s="19"/>
      <c r="H31" s="19"/>
      <c r="I31" s="108"/>
      <c r="J31" s="19"/>
      <c r="K31" s="19"/>
      <c r="L31" s="19"/>
      <c r="M31" s="19"/>
      <c r="N31" s="19"/>
      <c r="O31" s="19"/>
      <c r="P31" s="19"/>
      <c r="Q31" s="19"/>
    </row>
    <row r="32" spans="2:20" x14ac:dyDescent="0.2">
      <c r="B32" s="11" t="s">
        <v>47</v>
      </c>
      <c r="C32" s="11"/>
      <c r="D32" s="11"/>
      <c r="E32" s="3" t="s">
        <v>12</v>
      </c>
      <c r="F32" s="3" t="s">
        <v>13</v>
      </c>
      <c r="G32" s="3" t="s">
        <v>14</v>
      </c>
      <c r="H32" s="3" t="s">
        <v>15</v>
      </c>
      <c r="I32" s="3" t="s">
        <v>16</v>
      </c>
      <c r="J32" s="3" t="s">
        <v>17</v>
      </c>
      <c r="K32" s="3" t="s">
        <v>18</v>
      </c>
      <c r="L32" s="3" t="s">
        <v>19</v>
      </c>
      <c r="M32" s="3" t="s">
        <v>20</v>
      </c>
      <c r="N32" s="3" t="s">
        <v>21</v>
      </c>
      <c r="O32" s="3" t="s">
        <v>22</v>
      </c>
      <c r="P32" s="3" t="s">
        <v>23</v>
      </c>
      <c r="Q32" s="3" t="s">
        <v>24</v>
      </c>
    </row>
    <row r="33" spans="2:31" x14ac:dyDescent="0.2">
      <c r="B33" s="10" t="s">
        <v>60</v>
      </c>
      <c r="C33" s="10"/>
      <c r="D33" s="10"/>
      <c r="E33" s="127">
        <f>SUM(Assumptions!E23,Assumptions!E29,Assumptions!E35)</f>
        <v>34546500</v>
      </c>
      <c r="F33" s="127">
        <f>SUM(Assumptions!F23,Assumptions!F29,Assumptions!F35)</f>
        <v>35737200</v>
      </c>
      <c r="G33" s="127">
        <f>SUM(Assumptions!G23,Assumptions!G29,Assumptions!G35)</f>
        <v>35737200</v>
      </c>
      <c r="H33" s="127">
        <f>SUM(Assumptions!H23,Assumptions!H29,Assumptions!H35)</f>
        <v>35737200</v>
      </c>
      <c r="I33" s="127">
        <f>SUM(Assumptions!I23,Assumptions!I29,Assumptions!I35)</f>
        <v>35737200</v>
      </c>
      <c r="J33" s="127">
        <f>SUM(Assumptions!J23,Assumptions!J29,Assumptions!J35)</f>
        <v>41137335</v>
      </c>
      <c r="K33" s="127">
        <f>SUM(Assumptions!K23,Assumptions!K29,Assumptions!K35)</f>
        <v>43838550</v>
      </c>
      <c r="L33" s="127">
        <f>SUM(Assumptions!L23,Assumptions!L29,Assumptions!L35)</f>
        <v>43838550</v>
      </c>
      <c r="M33" s="127">
        <f>SUM(Assumptions!M23,Assumptions!M29,Assumptions!M35)</f>
        <v>43838550</v>
      </c>
      <c r="N33" s="127">
        <f>SUM(Assumptions!N23,Assumptions!N29,Assumptions!N35)</f>
        <v>43838550</v>
      </c>
      <c r="O33" s="127">
        <f>SUM(Assumptions!O23,Assumptions!O29,Assumptions!O35)</f>
        <v>43838550</v>
      </c>
      <c r="P33" s="127">
        <f>SUM(Assumptions!P23,Assumptions!P29,Assumptions!P35)</f>
        <v>43838550</v>
      </c>
      <c r="Q33" s="127">
        <f>SUM(Assumptions!Q23,Assumptions!Q29,Assumptions!Q35)</f>
        <v>43838550</v>
      </c>
    </row>
    <row r="34" spans="2:31" x14ac:dyDescent="0.2">
      <c r="B34" s="10" t="s">
        <v>61</v>
      </c>
      <c r="C34" s="10"/>
      <c r="D34" s="10"/>
      <c r="E34" s="128">
        <f>SUM(Assumptions!E24,Assumptions!E30,Assumptions!E36)</f>
        <v>20002</v>
      </c>
      <c r="F34" s="128">
        <f>SUM(Assumptions!F24,Assumptions!F30,Assumptions!F36)</f>
        <v>21178</v>
      </c>
      <c r="G34" s="128">
        <f>SUM(Assumptions!G24,Assumptions!G30,Assumptions!G36)</f>
        <v>21178</v>
      </c>
      <c r="H34" s="128">
        <f>SUM(Assumptions!H24,Assumptions!H30,Assumptions!H36)</f>
        <v>21178</v>
      </c>
      <c r="I34" s="128">
        <f>SUM(Assumptions!I24,Assumptions!I30,Assumptions!I36)</f>
        <v>21178</v>
      </c>
      <c r="J34" s="128">
        <f>SUM(Assumptions!J24,Assumptions!J30,Assumptions!J36)</f>
        <v>25884</v>
      </c>
      <c r="K34" s="128">
        <f>SUM(Assumptions!K24,Assumptions!K30,Assumptions!K36)</f>
        <v>28238</v>
      </c>
      <c r="L34" s="128">
        <f>SUM(Assumptions!L24,Assumptions!L30,Assumptions!L36)</f>
        <v>28238</v>
      </c>
      <c r="M34" s="128">
        <f>SUM(Assumptions!M24,Assumptions!M30,Assumptions!M36)</f>
        <v>28238</v>
      </c>
      <c r="N34" s="128">
        <f>SUM(Assumptions!N24,Assumptions!N30,Assumptions!N36)</f>
        <v>28238</v>
      </c>
      <c r="O34" s="128">
        <f>SUM(Assumptions!O24,Assumptions!O30,Assumptions!O36)</f>
        <v>28238</v>
      </c>
      <c r="P34" s="128">
        <f>SUM(Assumptions!P24,Assumptions!P30,Assumptions!P36)</f>
        <v>28238</v>
      </c>
      <c r="Q34" s="128">
        <f>SUM(Assumptions!Q24,Assumptions!Q30,Assumptions!Q36)</f>
        <v>28238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>
        <v>29056</v>
      </c>
      <c r="AD34" s="66">
        <v>29056</v>
      </c>
      <c r="AE34" s="66">
        <v>29056</v>
      </c>
    </row>
    <row r="35" spans="2:31" x14ac:dyDescent="0.2">
      <c r="B35" s="10" t="s">
        <v>62</v>
      </c>
      <c r="C35" s="10"/>
      <c r="D35" s="10"/>
      <c r="E35" s="128">
        <f>SUM(Assumptions!E25,Assumptions!E31,Assumptions!E37)</f>
        <v>21750000</v>
      </c>
      <c r="F35" s="128">
        <f>SUM(Assumptions!F25,Assumptions!F31,Assumptions!F37)</f>
        <v>22500000</v>
      </c>
      <c r="G35" s="128">
        <f>SUM(Assumptions!G25,Assumptions!G31,Assumptions!G37)</f>
        <v>22500000</v>
      </c>
      <c r="H35" s="128">
        <f>SUM(Assumptions!H25,Assumptions!H31,Assumptions!H37)</f>
        <v>22500000</v>
      </c>
      <c r="I35" s="128">
        <f>SUM(Assumptions!I25,Assumptions!I31,Assumptions!I37)</f>
        <v>22500000</v>
      </c>
      <c r="J35" s="128">
        <f>SUM(Assumptions!J25,Assumptions!J31,Assumptions!J37)</f>
        <v>25900000</v>
      </c>
      <c r="K35" s="128">
        <f>SUM(Assumptions!K25,Assumptions!K31,Assumptions!K37)</f>
        <v>27600000</v>
      </c>
      <c r="L35" s="128">
        <f>SUM(Assumptions!L25,Assumptions!L31,Assumptions!L37)</f>
        <v>27600000</v>
      </c>
      <c r="M35" s="128">
        <f>SUM(Assumptions!M25,Assumptions!M31,Assumptions!M37)</f>
        <v>27600000</v>
      </c>
      <c r="N35" s="128">
        <f>SUM(Assumptions!N25,Assumptions!N31,Assumptions!N37)</f>
        <v>27600000</v>
      </c>
      <c r="O35" s="128">
        <f>SUM(Assumptions!O25,Assumptions!O31,Assumptions!O37)</f>
        <v>27600000</v>
      </c>
      <c r="P35" s="128">
        <f>SUM(Assumptions!P25,Assumptions!P31,Assumptions!P37)</f>
        <v>27600000</v>
      </c>
      <c r="Q35" s="128">
        <f>SUM(Assumptions!Q25,Assumptions!Q31,Assumptions!Q37)</f>
        <v>27600000</v>
      </c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>
        <v>27600000</v>
      </c>
      <c r="AD35" s="66">
        <v>27600000</v>
      </c>
      <c r="AE35" s="66">
        <v>27600000</v>
      </c>
    </row>
    <row r="36" spans="2:31" x14ac:dyDescent="0.2">
      <c r="B36" s="10" t="s">
        <v>63</v>
      </c>
      <c r="C36" s="10"/>
      <c r="D36" s="10"/>
      <c r="E36" s="142">
        <f>SUM(Assumptions!E26,Assumptions!E32,Assumptions!E38)</f>
        <v>85000000</v>
      </c>
      <c r="F36" s="142">
        <f>SUM(Assumptions!F26,Assumptions!F32,Assumptions!F38)</f>
        <v>90000000</v>
      </c>
      <c r="G36" s="142">
        <f>SUM(Assumptions!G26,Assumptions!G32,Assumptions!G38)</f>
        <v>90000000</v>
      </c>
      <c r="H36" s="142">
        <f>SUM(Assumptions!H26,Assumptions!H32,Assumptions!H38)</f>
        <v>90000000</v>
      </c>
      <c r="I36" s="142">
        <f>SUM(Assumptions!I26,Assumptions!I32,Assumptions!I38)</f>
        <v>90000000</v>
      </c>
      <c r="J36" s="142">
        <f>SUM(Assumptions!J26,Assumptions!J32,Assumptions!J38)</f>
        <v>110000000</v>
      </c>
      <c r="K36" s="142">
        <f>SUM(Assumptions!K26,Assumptions!K32,Assumptions!K38)</f>
        <v>120000000</v>
      </c>
      <c r="L36" s="142">
        <f>SUM(Assumptions!L26,Assumptions!L32,Assumptions!L38)</f>
        <v>120000000</v>
      </c>
      <c r="M36" s="142">
        <f>SUM(Assumptions!M26,Assumptions!M32,Assumptions!M38)</f>
        <v>120000000</v>
      </c>
      <c r="N36" s="142">
        <f>SUM(Assumptions!N26,Assumptions!N32,Assumptions!N38)</f>
        <v>120000000</v>
      </c>
      <c r="O36" s="142">
        <f>SUM(Assumptions!O26,Assumptions!O32,Assumptions!O38)</f>
        <v>120000000</v>
      </c>
      <c r="P36" s="142">
        <f>SUM(Assumptions!P26,Assumptions!P32,Assumptions!P38)</f>
        <v>120000000</v>
      </c>
      <c r="Q36" s="142">
        <f>SUM(Assumptions!Q26,Assumptions!Q32,Assumptions!Q38)</f>
        <v>120000000</v>
      </c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>
        <v>120000000</v>
      </c>
      <c r="AD36" s="66">
        <v>120000000</v>
      </c>
      <c r="AE36" s="66">
        <v>120000000</v>
      </c>
    </row>
    <row r="38" spans="2:31" x14ac:dyDescent="0.2">
      <c r="B38" s="11" t="s">
        <v>64</v>
      </c>
      <c r="C38" s="11"/>
      <c r="D38" s="11"/>
      <c r="E38" s="3" t="s">
        <v>12</v>
      </c>
      <c r="F38" s="3" t="s">
        <v>13</v>
      </c>
      <c r="G38" s="3" t="s">
        <v>14</v>
      </c>
      <c r="H38" s="3" t="s">
        <v>15</v>
      </c>
      <c r="I38" s="3" t="s">
        <v>16</v>
      </c>
      <c r="J38" s="3" t="s">
        <v>17</v>
      </c>
      <c r="K38" s="3" t="s">
        <v>18</v>
      </c>
      <c r="L38" s="3" t="s">
        <v>19</v>
      </c>
      <c r="M38" s="3" t="s">
        <v>20</v>
      </c>
      <c r="N38" s="3" t="s">
        <v>21</v>
      </c>
      <c r="O38" s="3" t="s">
        <v>22</v>
      </c>
      <c r="P38" s="3" t="s">
        <v>23</v>
      </c>
      <c r="Q38" s="3" t="s">
        <v>24</v>
      </c>
    </row>
    <row r="39" spans="2:31" x14ac:dyDescent="0.2">
      <c r="B39" s="18" t="s">
        <v>32</v>
      </c>
      <c r="C39" s="18"/>
      <c r="D39" s="18"/>
      <c r="E39" s="152">
        <f>Assumptions!$D$11</f>
        <v>0.5</v>
      </c>
      <c r="F39" s="153">
        <f>E39*(1+Assumptions!$D$8)</f>
        <v>0.51749999999999996</v>
      </c>
      <c r="G39" s="153">
        <f>F39*(1+Assumptions!$D$8)</f>
        <v>0.53561249999999994</v>
      </c>
      <c r="H39" s="153">
        <f>G39*(1+Assumptions!$D$8)</f>
        <v>0.55435893749999987</v>
      </c>
      <c r="I39" s="153">
        <f>H39*(1+Assumptions!$D$8)</f>
        <v>0.57376150031249984</v>
      </c>
      <c r="J39" s="153">
        <f>I39*(1+Assumptions!$D$8)</f>
        <v>0.59384315282343725</v>
      </c>
      <c r="K39" s="153">
        <f>J39*(1+Assumptions!$D$8)</f>
        <v>0.61462766317225748</v>
      </c>
      <c r="L39" s="153">
        <f>K39*(1+Assumptions!$D$8)</f>
        <v>0.63613963138328644</v>
      </c>
      <c r="M39" s="153">
        <f>L39*(1+Assumptions!$D$8)</f>
        <v>0.65840451848170145</v>
      </c>
      <c r="N39" s="153">
        <f>M39*(1+Assumptions!$D$8)</f>
        <v>0.6814486766285609</v>
      </c>
      <c r="O39" s="153">
        <f>N39*(1+Assumptions!$D$8)</f>
        <v>0.7052993803105605</v>
      </c>
      <c r="P39" s="153">
        <f>O39*(1+Assumptions!$D$8)</f>
        <v>0.72998485862143003</v>
      </c>
      <c r="Q39" s="154">
        <f>P39*(1+Assumptions!$D$8)</f>
        <v>0.75553432867318004</v>
      </c>
    </row>
    <row r="40" spans="2:31" x14ac:dyDescent="0.2">
      <c r="B40" s="18" t="s">
        <v>33</v>
      </c>
      <c r="C40" s="18"/>
      <c r="D40" s="18"/>
      <c r="E40" s="155">
        <f>Assumptions!$D$12</f>
        <v>2500</v>
      </c>
      <c r="F40" s="156">
        <f>E40*(1+Assumptions!$D$7)</f>
        <v>2562.5</v>
      </c>
      <c r="G40" s="156">
        <f>F40*(1+Assumptions!$D$7)</f>
        <v>2626.5624999999995</v>
      </c>
      <c r="H40" s="156">
        <f>G40*(1+Assumptions!$D$7)</f>
        <v>2692.2265624999991</v>
      </c>
      <c r="I40" s="156">
        <f>H40*(1+Assumptions!$D$7)</f>
        <v>2759.5322265624986</v>
      </c>
      <c r="J40" s="156">
        <f>I40*(1+Assumptions!$D$7)</f>
        <v>2828.520532226561</v>
      </c>
      <c r="K40" s="156">
        <f>J40*(1+Assumptions!$D$7)</f>
        <v>2899.233545532225</v>
      </c>
      <c r="L40" s="156">
        <f>K40*(1+Assumptions!$D$7)</f>
        <v>2971.7143841705301</v>
      </c>
      <c r="M40" s="156">
        <f>L40*(1+Assumptions!$D$7)</f>
        <v>3046.0072437747931</v>
      </c>
      <c r="N40" s="156">
        <f>M40*(1+Assumptions!$D$7)</f>
        <v>3122.1574248691627</v>
      </c>
      <c r="O40" s="156">
        <f>N40*(1+Assumptions!$D$7)</f>
        <v>3200.2113604908914</v>
      </c>
      <c r="P40" s="156">
        <f>O40*(1+Assumptions!$D$7)</f>
        <v>3280.2166445031635</v>
      </c>
      <c r="Q40" s="157">
        <f>P40*(1+Assumptions!$D$7)</f>
        <v>3362.2220606157421</v>
      </c>
    </row>
    <row r="41" spans="2:31" x14ac:dyDescent="0.2">
      <c r="B41" s="18" t="s">
        <v>34</v>
      </c>
      <c r="C41" s="18"/>
      <c r="D41" s="18"/>
      <c r="E41" s="158">
        <f t="shared" ref="E41:Q41" si="18">((E6*1000)-(E33*E39)-(E34*E40))/(2*E35)</f>
        <v>2.6941551724137933</v>
      </c>
      <c r="F41" s="159">
        <f t="shared" si="18"/>
        <v>3.0207194222222222</v>
      </c>
      <c r="G41" s="159">
        <f t="shared" si="18"/>
        <v>3.0366526297777781</v>
      </c>
      <c r="H41" s="159">
        <f t="shared" si="18"/>
        <v>3.0524175475144451</v>
      </c>
      <c r="I41" s="159">
        <f t="shared" si="18"/>
        <v>2.9859999337087006</v>
      </c>
      <c r="J41" s="159">
        <f t="shared" si="18"/>
        <v>2.7604720044149373</v>
      </c>
      <c r="K41" s="159">
        <f t="shared" si="18"/>
        <v>2.7884249564837114</v>
      </c>
      <c r="L41" s="159">
        <f t="shared" si="18"/>
        <v>2.8088639525799781</v>
      </c>
      <c r="M41" s="159">
        <f t="shared" si="18"/>
        <v>2.704535290699301</v>
      </c>
      <c r="N41" s="159">
        <f t="shared" si="18"/>
        <v>2.7205760281472751</v>
      </c>
      <c r="O41" s="159">
        <f t="shared" si="18"/>
        <v>2.736216113292476</v>
      </c>
      <c r="P41" s="159">
        <f t="shared" si="18"/>
        <v>2.7741624034166876</v>
      </c>
      <c r="Q41" s="160">
        <f t="shared" si="18"/>
        <v>2.6770116668129895</v>
      </c>
    </row>
    <row r="42" spans="2:31" x14ac:dyDescent="0.2">
      <c r="B42" s="18" t="s">
        <v>35</v>
      </c>
      <c r="C42" s="18"/>
      <c r="D42" s="18"/>
      <c r="E42" s="158">
        <f t="shared" ref="E42:Q42" si="19">E41*(E35/E36)</f>
        <v>0.68938676470588234</v>
      </c>
      <c r="F42" s="159">
        <f>F41*(F35/F36)</f>
        <v>0.75517985555555556</v>
      </c>
      <c r="G42" s="159">
        <f t="shared" si="19"/>
        <v>0.75916315744444451</v>
      </c>
      <c r="H42" s="159">
        <f t="shared" si="19"/>
        <v>0.76310438687861126</v>
      </c>
      <c r="I42" s="159">
        <f t="shared" si="19"/>
        <v>0.74649998342717516</v>
      </c>
      <c r="J42" s="159">
        <f t="shared" si="19"/>
        <v>0.64996568103951702</v>
      </c>
      <c r="K42" s="159">
        <f t="shared" si="19"/>
        <v>0.64133773999125365</v>
      </c>
      <c r="L42" s="159">
        <f t="shared" si="19"/>
        <v>0.646038709093395</v>
      </c>
      <c r="M42" s="159">
        <f t="shared" si="19"/>
        <v>0.62204311686083924</v>
      </c>
      <c r="N42" s="159">
        <f t="shared" si="19"/>
        <v>0.62573248647387325</v>
      </c>
      <c r="O42" s="159">
        <f t="shared" si="19"/>
        <v>0.62932970605726957</v>
      </c>
      <c r="P42" s="159">
        <f t="shared" si="19"/>
        <v>0.63805735278583819</v>
      </c>
      <c r="Q42" s="160">
        <f t="shared" si="19"/>
        <v>0.61571268336698759</v>
      </c>
    </row>
    <row r="43" spans="2:31" x14ac:dyDescent="0.2">
      <c r="B43" s="11" t="s">
        <v>31</v>
      </c>
      <c r="C43" s="11"/>
      <c r="D43" s="11"/>
      <c r="E43" s="31">
        <f t="shared" ref="E43:Q43" si="20">SUMPRODUCT(E33:E36,E39:E42)/1000</f>
        <v>184474</v>
      </c>
      <c r="F43" s="32">
        <f t="shared" si="20"/>
        <v>208695</v>
      </c>
      <c r="G43" s="32">
        <f t="shared" si="20"/>
        <v>211416</v>
      </c>
      <c r="H43" s="32">
        <f t="shared" si="20"/>
        <v>214186.00000000003</v>
      </c>
      <c r="I43" s="32">
        <f t="shared" si="20"/>
        <v>213316</v>
      </c>
      <c r="J43" s="32">
        <f t="shared" si="20"/>
        <v>240635</v>
      </c>
      <c r="K43" s="32">
        <f t="shared" si="20"/>
        <v>262734</v>
      </c>
      <c r="L43" s="32">
        <f t="shared" si="20"/>
        <v>266852</v>
      </c>
      <c r="M43" s="32">
        <f t="shared" si="20"/>
        <v>264167.00000000006</v>
      </c>
      <c r="N43" s="32">
        <f t="shared" si="20"/>
        <v>268213</v>
      </c>
      <c r="O43" s="32">
        <f t="shared" si="20"/>
        <v>272326</v>
      </c>
      <c r="P43" s="32">
        <f t="shared" si="20"/>
        <v>277762</v>
      </c>
      <c r="Q43" s="33">
        <f t="shared" si="20"/>
        <v>275835</v>
      </c>
    </row>
    <row r="44" spans="2:31" x14ac:dyDescent="0.2">
      <c r="B44" s="9" t="s">
        <v>36</v>
      </c>
      <c r="C44" s="9"/>
      <c r="D44" s="9"/>
      <c r="E44" s="17">
        <f t="shared" ref="E44:Q44" si="21">E6-E43</f>
        <v>0</v>
      </c>
      <c r="F44" s="17">
        <f t="shared" si="21"/>
        <v>0</v>
      </c>
      <c r="G44" s="17">
        <f t="shared" si="21"/>
        <v>0</v>
      </c>
      <c r="H44" s="17">
        <f t="shared" si="21"/>
        <v>0</v>
      </c>
      <c r="I44" s="17">
        <f t="shared" si="21"/>
        <v>0</v>
      </c>
      <c r="J44" s="17">
        <f t="shared" si="21"/>
        <v>0</v>
      </c>
      <c r="K44" s="17">
        <f t="shared" si="21"/>
        <v>0</v>
      </c>
      <c r="L44" s="17">
        <f t="shared" si="21"/>
        <v>0</v>
      </c>
      <c r="M44" s="17">
        <f t="shared" si="21"/>
        <v>0</v>
      </c>
      <c r="N44" s="17">
        <f t="shared" si="21"/>
        <v>0</v>
      </c>
      <c r="O44" s="17">
        <f t="shared" si="21"/>
        <v>0</v>
      </c>
      <c r="P44" s="17">
        <f t="shared" si="21"/>
        <v>0</v>
      </c>
      <c r="Q44" s="17">
        <f t="shared" si="21"/>
        <v>0</v>
      </c>
    </row>
    <row r="46" spans="2:31" x14ac:dyDescent="0.2">
      <c r="B46" s="11" t="s">
        <v>72</v>
      </c>
      <c r="C46" s="11"/>
      <c r="D46" s="11"/>
      <c r="E46" s="3" t="s">
        <v>12</v>
      </c>
      <c r="F46" s="3" t="s">
        <v>13</v>
      </c>
      <c r="G46" s="3" t="s">
        <v>14</v>
      </c>
      <c r="H46" s="3" t="s">
        <v>15</v>
      </c>
      <c r="I46" s="3" t="s">
        <v>16</v>
      </c>
      <c r="J46" s="3" t="s">
        <v>17</v>
      </c>
      <c r="K46" s="3" t="s">
        <v>18</v>
      </c>
      <c r="L46" s="3" t="s">
        <v>19</v>
      </c>
      <c r="M46" s="3" t="s">
        <v>20</v>
      </c>
      <c r="N46" s="3" t="s">
        <v>21</v>
      </c>
      <c r="O46" s="3" t="s">
        <v>22</v>
      </c>
      <c r="P46" s="3" t="s">
        <v>23</v>
      </c>
      <c r="Q46" s="3" t="s">
        <v>24</v>
      </c>
    </row>
    <row r="47" spans="2:31" x14ac:dyDescent="0.2">
      <c r="B47" s="18" t="s">
        <v>32</v>
      </c>
      <c r="C47" s="18"/>
      <c r="D47" s="18"/>
      <c r="E47" s="127">
        <f t="shared" ref="E47:Q47" si="22">(E33*E39)/1000</f>
        <v>17273.25</v>
      </c>
      <c r="F47" s="134">
        <f t="shared" si="22"/>
        <v>18494.001</v>
      </c>
      <c r="G47" s="134">
        <f t="shared" si="22"/>
        <v>19141.291034999995</v>
      </c>
      <c r="H47" s="134">
        <f t="shared" si="22"/>
        <v>19811.236221224997</v>
      </c>
      <c r="I47" s="134">
        <f t="shared" si="22"/>
        <v>20504.629488967868</v>
      </c>
      <c r="J47" s="134">
        <f t="shared" si="22"/>
        <v>24429.124715153932</v>
      </c>
      <c r="K47" s="134">
        <f t="shared" si="22"/>
        <v>26944.385543360168</v>
      </c>
      <c r="L47" s="134">
        <f t="shared" si="22"/>
        <v>27887.439037377771</v>
      </c>
      <c r="M47" s="134">
        <f t="shared" si="22"/>
        <v>28863.499403685993</v>
      </c>
      <c r="N47" s="134">
        <f t="shared" si="22"/>
        <v>29873.721882815</v>
      </c>
      <c r="O47" s="134">
        <f t="shared" si="22"/>
        <v>30919.302148713523</v>
      </c>
      <c r="P47" s="134">
        <f t="shared" si="22"/>
        <v>32001.477723918491</v>
      </c>
      <c r="Q47" s="135">
        <f t="shared" si="22"/>
        <v>33121.529444255641</v>
      </c>
    </row>
    <row r="48" spans="2:31" x14ac:dyDescent="0.2">
      <c r="B48" s="18" t="s">
        <v>33</v>
      </c>
      <c r="C48" s="18"/>
      <c r="D48" s="18"/>
      <c r="E48" s="128">
        <f t="shared" ref="E48:Q48" si="23">(E34*E40)/1000</f>
        <v>50005</v>
      </c>
      <c r="F48" s="129">
        <f t="shared" si="23"/>
        <v>54268.625</v>
      </c>
      <c r="G48" s="129">
        <f t="shared" si="23"/>
        <v>55625.34062499999</v>
      </c>
      <c r="H48" s="129">
        <f t="shared" si="23"/>
        <v>57015.974140624974</v>
      </c>
      <c r="I48" s="129">
        <f t="shared" si="23"/>
        <v>58441.373494140593</v>
      </c>
      <c r="J48" s="129">
        <f t="shared" si="23"/>
        <v>73213.425456152312</v>
      </c>
      <c r="K48" s="129">
        <f t="shared" si="23"/>
        <v>81868.556858738972</v>
      </c>
      <c r="L48" s="129">
        <f t="shared" si="23"/>
        <v>83915.270780207429</v>
      </c>
      <c r="M48" s="129">
        <f t="shared" si="23"/>
        <v>86013.152549712613</v>
      </c>
      <c r="N48" s="129">
        <f t="shared" si="23"/>
        <v>88163.481363455416</v>
      </c>
      <c r="O48" s="129">
        <f t="shared" si="23"/>
        <v>90367.568397541792</v>
      </c>
      <c r="P48" s="129">
        <f t="shared" si="23"/>
        <v>92626.757607480336</v>
      </c>
      <c r="Q48" s="130">
        <f t="shared" si="23"/>
        <v>94942.426547667332</v>
      </c>
    </row>
    <row r="49" spans="2:17" x14ac:dyDescent="0.2">
      <c r="B49" s="18" t="s">
        <v>34</v>
      </c>
      <c r="C49" s="18"/>
      <c r="D49" s="18"/>
      <c r="E49" s="128">
        <f>(E35*E41)/1000</f>
        <v>58597.875000000007</v>
      </c>
      <c r="F49" s="129">
        <f t="shared" ref="F49:Q49" si="24">(F35*F41)/1000</f>
        <v>67966.187000000005</v>
      </c>
      <c r="G49" s="129">
        <f t="shared" si="24"/>
        <v>68324.684170000008</v>
      </c>
      <c r="H49" s="129">
        <f t="shared" si="24"/>
        <v>68679.394819075023</v>
      </c>
      <c r="I49" s="129">
        <f t="shared" si="24"/>
        <v>67184.998508445773</v>
      </c>
      <c r="J49" s="129">
        <f t="shared" si="24"/>
        <v>71496.22491434688</v>
      </c>
      <c r="K49" s="129">
        <f t="shared" si="24"/>
        <v>76960.528798950429</v>
      </c>
      <c r="L49" s="129">
        <f t="shared" si="24"/>
        <v>77524.645091207407</v>
      </c>
      <c r="M49" s="129">
        <f t="shared" si="24"/>
        <v>74645.1740233007</v>
      </c>
      <c r="N49" s="129">
        <f t="shared" si="24"/>
        <v>75087.898376864789</v>
      </c>
      <c r="O49" s="129">
        <f t="shared" si="24"/>
        <v>75519.564726872341</v>
      </c>
      <c r="P49" s="129">
        <f t="shared" si="24"/>
        <v>76566.882334300579</v>
      </c>
      <c r="Q49" s="130">
        <f t="shared" si="24"/>
        <v>73885.522004038517</v>
      </c>
    </row>
    <row r="50" spans="2:17" x14ac:dyDescent="0.2">
      <c r="B50" s="18" t="s">
        <v>35</v>
      </c>
      <c r="C50" s="18"/>
      <c r="D50" s="18"/>
      <c r="E50" s="128">
        <f t="shared" ref="E50:Q50" si="25">(E36*E42)/1000</f>
        <v>58597.875</v>
      </c>
      <c r="F50" s="129">
        <f t="shared" si="25"/>
        <v>67966.187000000005</v>
      </c>
      <c r="G50" s="129">
        <f t="shared" si="25"/>
        <v>68324.684170000008</v>
      </c>
      <c r="H50" s="129">
        <f t="shared" si="25"/>
        <v>68679.394819075023</v>
      </c>
      <c r="I50" s="129">
        <f t="shared" si="25"/>
        <v>67184.998508445773</v>
      </c>
      <c r="J50" s="129">
        <f t="shared" si="25"/>
        <v>71496.22491434688</v>
      </c>
      <c r="K50" s="129">
        <f t="shared" si="25"/>
        <v>76960.528798950429</v>
      </c>
      <c r="L50" s="129">
        <f t="shared" si="25"/>
        <v>77524.645091207407</v>
      </c>
      <c r="M50" s="129">
        <f t="shared" si="25"/>
        <v>74645.1740233007</v>
      </c>
      <c r="N50" s="129">
        <f t="shared" si="25"/>
        <v>75087.898376864789</v>
      </c>
      <c r="O50" s="129">
        <f t="shared" si="25"/>
        <v>75519.564726872355</v>
      </c>
      <c r="P50" s="129">
        <f t="shared" si="25"/>
        <v>76566.882334300579</v>
      </c>
      <c r="Q50" s="130">
        <f t="shared" si="25"/>
        <v>73885.522004038517</v>
      </c>
    </row>
    <row r="51" spans="2:17" x14ac:dyDescent="0.2">
      <c r="B51" s="11" t="s">
        <v>31</v>
      </c>
      <c r="C51" s="11"/>
      <c r="D51" s="11"/>
      <c r="E51" s="31">
        <f t="shared" ref="E51:Q51" si="26">SUM(E47:E50)</f>
        <v>184474</v>
      </c>
      <c r="F51" s="32">
        <f t="shared" si="26"/>
        <v>208695.00000000003</v>
      </c>
      <c r="G51" s="32">
        <f t="shared" si="26"/>
        <v>211416</v>
      </c>
      <c r="H51" s="32">
        <f t="shared" si="26"/>
        <v>214186</v>
      </c>
      <c r="I51" s="32">
        <f t="shared" si="26"/>
        <v>213316</v>
      </c>
      <c r="J51" s="32">
        <f t="shared" si="26"/>
        <v>240635</v>
      </c>
      <c r="K51" s="32">
        <f t="shared" si="26"/>
        <v>262734</v>
      </c>
      <c r="L51" s="32">
        <f t="shared" si="26"/>
        <v>266852</v>
      </c>
      <c r="M51" s="32">
        <f t="shared" si="26"/>
        <v>264167</v>
      </c>
      <c r="N51" s="32">
        <f t="shared" si="26"/>
        <v>268213</v>
      </c>
      <c r="O51" s="32">
        <f t="shared" si="26"/>
        <v>272326</v>
      </c>
      <c r="P51" s="32">
        <f t="shared" si="26"/>
        <v>277762</v>
      </c>
      <c r="Q51" s="33">
        <f t="shared" si="26"/>
        <v>275835</v>
      </c>
    </row>
    <row r="52" spans="2:17" x14ac:dyDescent="0.2">
      <c r="B52" s="9" t="s">
        <v>36</v>
      </c>
      <c r="C52" s="9"/>
      <c r="D52" s="9"/>
      <c r="E52" s="17">
        <f t="shared" ref="E52:Q52" si="27">E43-E51</f>
        <v>0</v>
      </c>
      <c r="F52" s="17">
        <f t="shared" si="27"/>
        <v>0</v>
      </c>
      <c r="G52" s="17">
        <f t="shared" si="27"/>
        <v>0</v>
      </c>
      <c r="H52" s="17">
        <f t="shared" si="27"/>
        <v>0</v>
      </c>
      <c r="I52" s="17">
        <f t="shared" si="27"/>
        <v>0</v>
      </c>
      <c r="J52" s="17">
        <f t="shared" si="27"/>
        <v>0</v>
      </c>
      <c r="K52" s="17">
        <f t="shared" si="27"/>
        <v>0</v>
      </c>
      <c r="L52" s="17">
        <f t="shared" si="27"/>
        <v>0</v>
      </c>
      <c r="M52" s="17">
        <f t="shared" si="27"/>
        <v>0</v>
      </c>
      <c r="N52" s="17">
        <f t="shared" si="27"/>
        <v>0</v>
      </c>
      <c r="O52" s="17">
        <f t="shared" si="27"/>
        <v>0</v>
      </c>
      <c r="P52" s="17">
        <f t="shared" si="27"/>
        <v>0</v>
      </c>
      <c r="Q52" s="17">
        <f t="shared" si="27"/>
        <v>0</v>
      </c>
    </row>
    <row r="53" spans="2:17" x14ac:dyDescent="0.2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2:17" x14ac:dyDescent="0.2">
      <c r="B54" s="11" t="s">
        <v>123</v>
      </c>
      <c r="C54" s="11"/>
      <c r="D54" s="11"/>
      <c r="E54" s="3" t="s">
        <v>12</v>
      </c>
      <c r="F54" s="3" t="s">
        <v>13</v>
      </c>
      <c r="G54" s="3" t="s">
        <v>14</v>
      </c>
      <c r="H54" s="3" t="s">
        <v>15</v>
      </c>
      <c r="I54" s="3" t="s">
        <v>16</v>
      </c>
      <c r="J54" s="3" t="s">
        <v>17</v>
      </c>
      <c r="K54" s="3" t="s">
        <v>18</v>
      </c>
      <c r="L54" s="3" t="s">
        <v>19</v>
      </c>
      <c r="M54" s="3" t="s">
        <v>20</v>
      </c>
      <c r="N54" s="3" t="s">
        <v>21</v>
      </c>
      <c r="O54" s="3" t="s">
        <v>22</v>
      </c>
      <c r="P54" s="3" t="s">
        <v>23</v>
      </c>
      <c r="Q54" s="3" t="s">
        <v>24</v>
      </c>
    </row>
    <row r="55" spans="2:17" x14ac:dyDescent="0.2">
      <c r="B55" s="10" t="s">
        <v>130</v>
      </c>
      <c r="C55" s="10"/>
      <c r="D55" s="10"/>
      <c r="E55" s="149">
        <f t="shared" ref="E55:Q55" si="28">E51</f>
        <v>184474</v>
      </c>
      <c r="F55" s="150">
        <f t="shared" si="28"/>
        <v>208695.00000000003</v>
      </c>
      <c r="G55" s="150">
        <f t="shared" si="28"/>
        <v>211416</v>
      </c>
      <c r="H55" s="150">
        <f t="shared" si="28"/>
        <v>214186</v>
      </c>
      <c r="I55" s="150">
        <f t="shared" si="28"/>
        <v>213316</v>
      </c>
      <c r="J55" s="150">
        <f t="shared" si="28"/>
        <v>240635</v>
      </c>
      <c r="K55" s="150">
        <f t="shared" si="28"/>
        <v>262734</v>
      </c>
      <c r="L55" s="150">
        <f t="shared" si="28"/>
        <v>266852</v>
      </c>
      <c r="M55" s="150">
        <f t="shared" si="28"/>
        <v>264167</v>
      </c>
      <c r="N55" s="150">
        <f t="shared" si="28"/>
        <v>268213</v>
      </c>
      <c r="O55" s="150">
        <f t="shared" si="28"/>
        <v>272326</v>
      </c>
      <c r="P55" s="150">
        <f t="shared" si="28"/>
        <v>277762</v>
      </c>
      <c r="Q55" s="151">
        <f t="shared" si="28"/>
        <v>275835</v>
      </c>
    </row>
    <row r="56" spans="2:17" x14ac:dyDescent="0.2">
      <c r="B56" s="20" t="s">
        <v>73</v>
      </c>
      <c r="C56" s="20"/>
      <c r="D56" s="20"/>
    </row>
    <row r="57" spans="2:17" x14ac:dyDescent="0.2">
      <c r="B57" s="10" t="s">
        <v>124</v>
      </c>
      <c r="C57" s="10"/>
      <c r="D57" s="10"/>
      <c r="E57" s="155">
        <f>E47</f>
        <v>17273.25</v>
      </c>
      <c r="F57" s="156">
        <f t="shared" ref="F57:Q57" si="29">F47</f>
        <v>18494.001</v>
      </c>
      <c r="G57" s="156">
        <f t="shared" si="29"/>
        <v>19141.291034999995</v>
      </c>
      <c r="H57" s="156">
        <f t="shared" si="29"/>
        <v>19811.236221224997</v>
      </c>
      <c r="I57" s="156">
        <f t="shared" si="29"/>
        <v>20504.629488967868</v>
      </c>
      <c r="J57" s="156">
        <f t="shared" si="29"/>
        <v>24429.124715153932</v>
      </c>
      <c r="K57" s="156">
        <f t="shared" si="29"/>
        <v>26944.385543360168</v>
      </c>
      <c r="L57" s="156">
        <f t="shared" si="29"/>
        <v>27887.439037377771</v>
      </c>
      <c r="M57" s="156">
        <f t="shared" si="29"/>
        <v>28863.499403685993</v>
      </c>
      <c r="N57" s="156">
        <f t="shared" si="29"/>
        <v>29873.721882815</v>
      </c>
      <c r="O57" s="156">
        <f t="shared" si="29"/>
        <v>30919.302148713523</v>
      </c>
      <c r="P57" s="156">
        <f t="shared" si="29"/>
        <v>32001.477723918491</v>
      </c>
      <c r="Q57" s="157">
        <f t="shared" si="29"/>
        <v>33121.529444255641</v>
      </c>
    </row>
    <row r="58" spans="2:17" x14ac:dyDescent="0.2">
      <c r="B58" s="10" t="s">
        <v>125</v>
      </c>
      <c r="C58" s="10"/>
      <c r="D58" s="10"/>
      <c r="E58" s="169">
        <f>E55-E57</f>
        <v>167200.75</v>
      </c>
      <c r="F58" s="168">
        <f t="shared" ref="F58:Q58" si="30">F55-F57</f>
        <v>190200.99900000004</v>
      </c>
      <c r="G58" s="168">
        <f t="shared" si="30"/>
        <v>192274.708965</v>
      </c>
      <c r="H58" s="168">
        <f t="shared" si="30"/>
        <v>194374.763778775</v>
      </c>
      <c r="I58" s="168">
        <f t="shared" si="30"/>
        <v>192811.37051103212</v>
      </c>
      <c r="J58" s="168">
        <f t="shared" si="30"/>
        <v>216205.87528484606</v>
      </c>
      <c r="K58" s="168">
        <f t="shared" si="30"/>
        <v>235789.61445663983</v>
      </c>
      <c r="L58" s="168">
        <f t="shared" si="30"/>
        <v>238964.56096262223</v>
      </c>
      <c r="M58" s="168">
        <f t="shared" si="30"/>
        <v>235303.500596314</v>
      </c>
      <c r="N58" s="168">
        <f t="shared" si="30"/>
        <v>238339.27811718499</v>
      </c>
      <c r="O58" s="168">
        <f t="shared" si="30"/>
        <v>241406.69785128647</v>
      </c>
      <c r="P58" s="168">
        <f t="shared" si="30"/>
        <v>245760.52227608149</v>
      </c>
      <c r="Q58" s="171">
        <f t="shared" si="30"/>
        <v>242713.47055574437</v>
      </c>
    </row>
    <row r="59" spans="2:17" x14ac:dyDescent="0.2">
      <c r="B59" s="20" t="s">
        <v>73</v>
      </c>
      <c r="C59" s="20"/>
      <c r="D59" s="20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10" t="s">
        <v>74</v>
      </c>
      <c r="C60" s="10"/>
      <c r="D60" s="10"/>
      <c r="E60" s="173">
        <f>Assumptions!E40</f>
        <v>13480</v>
      </c>
      <c r="F60" s="173">
        <f>Assumptions!F40</f>
        <v>14696</v>
      </c>
      <c r="G60" s="173">
        <f>Assumptions!G40</f>
        <v>15063</v>
      </c>
      <c r="H60" s="173">
        <f>Assumptions!H40</f>
        <v>15440</v>
      </c>
      <c r="I60" s="173">
        <f>Assumptions!I40</f>
        <v>15826</v>
      </c>
      <c r="J60" s="173">
        <f>Assumptions!J40</f>
        <v>20620</v>
      </c>
      <c r="K60" s="173">
        <f>Assumptions!K40</f>
        <v>23391</v>
      </c>
      <c r="L60" s="173">
        <f>Assumptions!L40</f>
        <v>23976</v>
      </c>
      <c r="M60" s="173">
        <f>Assumptions!M40</f>
        <v>24575</v>
      </c>
      <c r="N60" s="173">
        <f>Assumptions!N40</f>
        <v>25190</v>
      </c>
      <c r="O60" s="173">
        <f>Assumptions!O40</f>
        <v>25819</v>
      </c>
      <c r="P60" s="173">
        <f>Assumptions!P40</f>
        <v>26465</v>
      </c>
      <c r="Q60" s="173">
        <f>Assumptions!Q40</f>
        <v>27127</v>
      </c>
    </row>
    <row r="61" spans="2:17" x14ac:dyDescent="0.2">
      <c r="B61" s="21" t="s">
        <v>129</v>
      </c>
      <c r="C61" s="21"/>
      <c r="D61" s="21"/>
      <c r="E61" s="273">
        <f>Assumptions!E$41-Baseline!E57</f>
        <v>4684.75</v>
      </c>
      <c r="F61" s="274">
        <f>Assumptions!F$41-Baseline!F57</f>
        <v>5463.9989999999998</v>
      </c>
      <c r="G61" s="274">
        <f>Assumptions!G$41-Baseline!G57</f>
        <v>5655.7089650000053</v>
      </c>
      <c r="H61" s="274">
        <f>Assumptions!H$41-Baseline!H57</f>
        <v>5853.7637787750027</v>
      </c>
      <c r="I61" s="274">
        <f>Assumptions!I$41-Baseline!I57</f>
        <v>6058.3705110321316</v>
      </c>
      <c r="J61" s="274">
        <f>Assumptions!J$41-Baseline!J57</f>
        <v>9477.8752848460681</v>
      </c>
      <c r="K61" s="274">
        <f>Assumptions!K$41-Baseline!K57</f>
        <v>11469.614456639832</v>
      </c>
      <c r="L61" s="274">
        <f>Assumptions!L$41-Baseline!L57</f>
        <v>11870.560962622229</v>
      </c>
      <c r="M61" s="274">
        <f>Assumptions!M$41-Baseline!M57</f>
        <v>12286.500596314007</v>
      </c>
      <c r="N61" s="274">
        <f>Assumptions!N$41-Baseline!N57</f>
        <v>12716.278117185</v>
      </c>
      <c r="O61" s="274">
        <f>Assumptions!O$41-Baseline!O57</f>
        <v>13161.697851286477</v>
      </c>
      <c r="P61" s="274">
        <f>Assumptions!P$41-Baseline!P57</f>
        <v>13621.522276081509</v>
      </c>
      <c r="Q61" s="275">
        <f>Assumptions!Q$41-Baseline!Q57</f>
        <v>14098.470555744359</v>
      </c>
    </row>
    <row r="62" spans="2:17" s="262" customFormat="1" x14ac:dyDescent="0.2">
      <c r="B62" s="279"/>
      <c r="C62" s="279"/>
      <c r="D62" s="279"/>
      <c r="E62" s="269">
        <f t="shared" ref="E62:Q62" si="31">E18</f>
        <v>0</v>
      </c>
      <c r="F62" s="269">
        <f t="shared" si="31"/>
        <v>0</v>
      </c>
      <c r="G62" s="269">
        <f t="shared" si="31"/>
        <v>0</v>
      </c>
      <c r="H62" s="269">
        <f t="shared" si="31"/>
        <v>0</v>
      </c>
      <c r="I62" s="269">
        <f t="shared" si="31"/>
        <v>0</v>
      </c>
      <c r="J62" s="269">
        <f t="shared" si="31"/>
        <v>0</v>
      </c>
      <c r="K62" s="269">
        <f t="shared" si="31"/>
        <v>0</v>
      </c>
      <c r="L62" s="269">
        <f t="shared" si="31"/>
        <v>0</v>
      </c>
      <c r="M62" s="269">
        <f t="shared" si="31"/>
        <v>0</v>
      </c>
      <c r="N62" s="269">
        <f t="shared" si="31"/>
        <v>0</v>
      </c>
      <c r="O62" s="269">
        <f t="shared" si="31"/>
        <v>0</v>
      </c>
      <c r="P62" s="269">
        <f t="shared" si="31"/>
        <v>0</v>
      </c>
      <c r="Q62" s="269">
        <f t="shared" si="31"/>
        <v>0</v>
      </c>
    </row>
    <row r="63" spans="2:17" s="7" customFormat="1" x14ac:dyDescent="0.2">
      <c r="B63" s="76" t="s">
        <v>126</v>
      </c>
      <c r="C63" s="76"/>
      <c r="D63" s="76"/>
      <c r="E63" s="276">
        <f>E58-SUM(E60:E62)</f>
        <v>149036</v>
      </c>
      <c r="F63" s="277">
        <f t="shared" ref="F63:Q63" si="32">F58-SUM(F60:F62)</f>
        <v>170041.00000000003</v>
      </c>
      <c r="G63" s="277">
        <f t="shared" si="32"/>
        <v>171556</v>
      </c>
      <c r="H63" s="277">
        <f t="shared" si="32"/>
        <v>173081</v>
      </c>
      <c r="I63" s="277">
        <f t="shared" si="32"/>
        <v>170927</v>
      </c>
      <c r="J63" s="277">
        <f t="shared" si="32"/>
        <v>186108</v>
      </c>
      <c r="K63" s="277">
        <f t="shared" si="32"/>
        <v>200929</v>
      </c>
      <c r="L63" s="277">
        <f t="shared" si="32"/>
        <v>203118</v>
      </c>
      <c r="M63" s="277">
        <f t="shared" si="32"/>
        <v>198442</v>
      </c>
      <c r="N63" s="277">
        <f t="shared" si="32"/>
        <v>200433</v>
      </c>
      <c r="O63" s="277">
        <f t="shared" si="32"/>
        <v>202426</v>
      </c>
      <c r="P63" s="277">
        <f t="shared" si="32"/>
        <v>205674</v>
      </c>
      <c r="Q63" s="278">
        <f t="shared" si="32"/>
        <v>201488</v>
      </c>
    </row>
    <row r="65" spans="2:19" x14ac:dyDescent="0.2">
      <c r="B65" s="11" t="s">
        <v>76</v>
      </c>
      <c r="C65" s="11"/>
      <c r="D65" s="11"/>
      <c r="E65" s="3" t="s">
        <v>12</v>
      </c>
      <c r="F65" s="3" t="s">
        <v>13</v>
      </c>
      <c r="G65" s="3" t="s">
        <v>14</v>
      </c>
      <c r="H65" s="3" t="s">
        <v>15</v>
      </c>
      <c r="I65" s="3" t="s">
        <v>16</v>
      </c>
      <c r="J65" s="3" t="s">
        <v>17</v>
      </c>
      <c r="K65" s="3" t="s">
        <v>18</v>
      </c>
      <c r="L65" s="3" t="s">
        <v>19</v>
      </c>
      <c r="M65" s="3" t="s">
        <v>20</v>
      </c>
      <c r="N65" s="3" t="s">
        <v>21</v>
      </c>
      <c r="O65" s="3" t="s">
        <v>22</v>
      </c>
      <c r="P65" s="3" t="s">
        <v>23</v>
      </c>
      <c r="Q65" s="3" t="s">
        <v>24</v>
      </c>
    </row>
    <row r="66" spans="2:19" x14ac:dyDescent="0.2">
      <c r="B66" s="10" t="s">
        <v>40</v>
      </c>
      <c r="C66" s="10"/>
      <c r="D66" s="10"/>
      <c r="E66" s="103">
        <f>E22*E63</f>
        <v>24557.924508646793</v>
      </c>
      <c r="F66" s="104">
        <f t="shared" ref="F66:Q66" si="33">F22*F63</f>
        <v>44112.047245050446</v>
      </c>
      <c r="G66" s="104">
        <f t="shared" si="33"/>
        <v>44140.10374823452</v>
      </c>
      <c r="H66" s="104">
        <f t="shared" si="33"/>
        <v>44141.304310060383</v>
      </c>
      <c r="I66" s="104">
        <f t="shared" si="33"/>
        <v>40851.948915318426</v>
      </c>
      <c r="J66" s="104">
        <f t="shared" si="33"/>
        <v>40900.887253546782</v>
      </c>
      <c r="K66" s="104">
        <f t="shared" si="33"/>
        <v>42875.829245590365</v>
      </c>
      <c r="L66" s="104">
        <f t="shared" si="33"/>
        <v>43497.25051277491</v>
      </c>
      <c r="M66" s="104">
        <f t="shared" si="33"/>
        <v>39995.813611252182</v>
      </c>
      <c r="N66" s="104">
        <f t="shared" si="33"/>
        <v>40440.408527088483</v>
      </c>
      <c r="O66" s="104">
        <f t="shared" si="33"/>
        <v>40842.023995194715</v>
      </c>
      <c r="P66" s="104">
        <f t="shared" si="33"/>
        <v>41200.721822175343</v>
      </c>
      <c r="Q66" s="105">
        <f t="shared" si="33"/>
        <v>39548.640903879059</v>
      </c>
    </row>
    <row r="67" spans="2:19" x14ac:dyDescent="0.2">
      <c r="B67" s="10" t="s">
        <v>41</v>
      </c>
      <c r="C67" s="10"/>
      <c r="D67" s="10"/>
      <c r="E67" s="172">
        <f t="shared" ref="E67:I67" si="34">E23*E63</f>
        <v>0</v>
      </c>
      <c r="F67" s="106">
        <f t="shared" si="34"/>
        <v>0</v>
      </c>
      <c r="G67" s="106">
        <f t="shared" si="34"/>
        <v>0</v>
      </c>
      <c r="H67" s="106">
        <f t="shared" si="34"/>
        <v>0</v>
      </c>
      <c r="I67" s="106">
        <f t="shared" si="34"/>
        <v>0</v>
      </c>
      <c r="J67" s="106">
        <f t="shared" ref="J67:Q67" si="35">J23*J63</f>
        <v>13643.356729059948</v>
      </c>
      <c r="K67" s="106">
        <f t="shared" si="35"/>
        <v>24964.235401066409</v>
      </c>
      <c r="L67" s="106">
        <f t="shared" si="35"/>
        <v>24965.208472649265</v>
      </c>
      <c r="M67" s="106">
        <f t="shared" si="35"/>
        <v>23104.820123835609</v>
      </c>
      <c r="N67" s="106">
        <f t="shared" si="35"/>
        <v>23132.316550928808</v>
      </c>
      <c r="O67" s="106">
        <f t="shared" si="35"/>
        <v>23163.804689531924</v>
      </c>
      <c r="P67" s="106">
        <f t="shared" si="35"/>
        <v>24447.54783129022</v>
      </c>
      <c r="Q67" s="107">
        <f t="shared" si="35"/>
        <v>22477.331946125392</v>
      </c>
      <c r="S67" s="167"/>
    </row>
    <row r="69" spans="2:19" x14ac:dyDescent="0.2">
      <c r="B69" s="10" t="s">
        <v>110</v>
      </c>
      <c r="C69" s="10"/>
      <c r="D69" s="10"/>
      <c r="E69" s="161">
        <f>NPV(Assumptions!$D$3,E66:Q66)</f>
        <v>314165.76454773144</v>
      </c>
    </row>
    <row r="70" spans="2:19" x14ac:dyDescent="0.2">
      <c r="B70" s="10" t="s">
        <v>111</v>
      </c>
      <c r="C70" s="10"/>
      <c r="D70" s="10"/>
      <c r="E70" s="162">
        <f>NPV(Assumptions!$D$3,J67:Q67)</f>
        <v>126700.0799330163</v>
      </c>
    </row>
    <row r="71" spans="2:19" x14ac:dyDescent="0.2">
      <c r="E71" s="2"/>
    </row>
    <row r="72" spans="2:19" s="262" customFormat="1" x14ac:dyDescent="0.2">
      <c r="B72" s="268"/>
      <c r="C72" s="268"/>
      <c r="D72" s="268"/>
      <c r="E72" s="272">
        <f>NPV(Assumptions!$D$3,E16:Q16)</f>
        <v>0</v>
      </c>
    </row>
    <row r="73" spans="2:19" s="262" customFormat="1" x14ac:dyDescent="0.2">
      <c r="B73" s="268"/>
      <c r="C73" s="268"/>
      <c r="D73" s="268"/>
      <c r="E73" s="272">
        <f>NPV(Assumptions!$D$3,J17:Q17)</f>
        <v>0</v>
      </c>
    </row>
    <row r="75" spans="2:19" x14ac:dyDescent="0.2">
      <c r="B75" s="10"/>
      <c r="C75" s="10"/>
      <c r="D75" s="10"/>
      <c r="E75" s="85"/>
    </row>
    <row r="76" spans="2:19" x14ac:dyDescent="0.2">
      <c r="B76" s="10"/>
      <c r="C76" s="10"/>
      <c r="D76" s="10"/>
      <c r="E76" s="85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topLeftCell="A4" workbookViewId="0"/>
  </sheetViews>
  <sheetFormatPr defaultRowHeight="15" x14ac:dyDescent="0.25"/>
  <cols>
    <col min="1" max="16384" width="9.140625" style="163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131"/>
  <sheetViews>
    <sheetView showGridLines="0" topLeftCell="A67" zoomScale="130" zoomScaleNormal="130" workbookViewId="0">
      <selection activeCell="B74" sqref="B74"/>
    </sheetView>
  </sheetViews>
  <sheetFormatPr defaultRowHeight="12" x14ac:dyDescent="0.2"/>
  <cols>
    <col min="1" max="1" width="0.85546875" style="1" customWidth="1"/>
    <col min="2" max="2" width="38.5703125" style="1" bestFit="1" customWidth="1"/>
    <col min="3" max="4" width="1.7109375" style="1" customWidth="1"/>
    <col min="5" max="17" width="10.7109375" style="1" customWidth="1"/>
    <col min="18" max="18" width="1.7109375" style="1" customWidth="1"/>
    <col min="19" max="16384" width="9.140625" style="1"/>
  </cols>
  <sheetData>
    <row r="1" spans="2:17" x14ac:dyDescent="0.2">
      <c r="B1" s="16"/>
      <c r="C1" s="16"/>
      <c r="D1" s="16"/>
    </row>
    <row r="2" spans="2:17" x14ac:dyDescent="0.2">
      <c r="B2" s="11" t="s">
        <v>77</v>
      </c>
      <c r="C2" s="11"/>
      <c r="D2" s="11"/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3" t="s">
        <v>24</v>
      </c>
    </row>
    <row r="3" spans="2:17" x14ac:dyDescent="0.2">
      <c r="B3" s="18" t="s">
        <v>32</v>
      </c>
      <c r="C3" s="18"/>
      <c r="D3" s="18"/>
      <c r="E3" s="173">
        <f>Baseline!E47</f>
        <v>17273.25</v>
      </c>
      <c r="F3" s="174">
        <f>Baseline!F47</f>
        <v>18494.001</v>
      </c>
      <c r="G3" s="174">
        <f>Baseline!G47</f>
        <v>19141.291034999995</v>
      </c>
      <c r="H3" s="174">
        <f>Baseline!H47</f>
        <v>19811.236221224997</v>
      </c>
      <c r="I3" s="174">
        <f>Baseline!I47</f>
        <v>20504.629488967868</v>
      </c>
      <c r="J3" s="174">
        <f>Baseline!J47</f>
        <v>24429.124715153932</v>
      </c>
      <c r="K3" s="174">
        <f>Baseline!K47</f>
        <v>26944.385543360168</v>
      </c>
      <c r="L3" s="174">
        <f>Baseline!L47</f>
        <v>27887.439037377771</v>
      </c>
      <c r="M3" s="174">
        <f>Baseline!M47</f>
        <v>28863.499403685993</v>
      </c>
      <c r="N3" s="174">
        <f>Baseline!N47</f>
        <v>29873.721882815</v>
      </c>
      <c r="O3" s="174">
        <f>Baseline!O47</f>
        <v>30919.302148713523</v>
      </c>
      <c r="P3" s="174">
        <f>Baseline!P47</f>
        <v>32001.477723918491</v>
      </c>
      <c r="Q3" s="190">
        <f>Baseline!Q47</f>
        <v>33121.529444255641</v>
      </c>
    </row>
    <row r="4" spans="2:17" x14ac:dyDescent="0.2">
      <c r="B4" s="18" t="s">
        <v>33</v>
      </c>
      <c r="C4" s="18"/>
      <c r="D4" s="18"/>
      <c r="E4" s="155">
        <f>Baseline!E48</f>
        <v>50005</v>
      </c>
      <c r="F4" s="156">
        <f>Baseline!F48</f>
        <v>54268.625</v>
      </c>
      <c r="G4" s="156">
        <f>Baseline!G48</f>
        <v>55625.34062499999</v>
      </c>
      <c r="H4" s="156">
        <f>Baseline!H48</f>
        <v>57015.974140624974</v>
      </c>
      <c r="I4" s="156">
        <f>Baseline!I48</f>
        <v>58441.373494140593</v>
      </c>
      <c r="J4" s="156">
        <f>Baseline!J48</f>
        <v>73213.425456152312</v>
      </c>
      <c r="K4" s="156">
        <f>Baseline!K48</f>
        <v>81868.556858738972</v>
      </c>
      <c r="L4" s="156">
        <f>Baseline!L48</f>
        <v>83915.270780207429</v>
      </c>
      <c r="M4" s="156">
        <f>Baseline!M48</f>
        <v>86013.152549712613</v>
      </c>
      <c r="N4" s="156">
        <f>Baseline!N48</f>
        <v>88163.481363455416</v>
      </c>
      <c r="O4" s="156">
        <f>Baseline!O48</f>
        <v>90367.568397541792</v>
      </c>
      <c r="P4" s="156">
        <f>Baseline!P48</f>
        <v>92626.757607480336</v>
      </c>
      <c r="Q4" s="157">
        <f>Baseline!Q48</f>
        <v>94942.426547667332</v>
      </c>
    </row>
    <row r="5" spans="2:17" x14ac:dyDescent="0.2">
      <c r="B5" s="18" t="s">
        <v>34</v>
      </c>
      <c r="C5" s="18"/>
      <c r="D5" s="18"/>
      <c r="E5" s="155">
        <f>Baseline!E49</f>
        <v>58597.875000000007</v>
      </c>
      <c r="F5" s="156">
        <f>Baseline!F49</f>
        <v>67966.187000000005</v>
      </c>
      <c r="G5" s="156">
        <f>Baseline!G49</f>
        <v>68324.684170000008</v>
      </c>
      <c r="H5" s="156">
        <f>Baseline!H49</f>
        <v>68679.394819075023</v>
      </c>
      <c r="I5" s="156">
        <f>Baseline!I49</f>
        <v>67184.998508445773</v>
      </c>
      <c r="J5" s="156">
        <f>Baseline!J49</f>
        <v>71496.22491434688</v>
      </c>
      <c r="K5" s="156">
        <f>Baseline!K49</f>
        <v>76960.528798950429</v>
      </c>
      <c r="L5" s="156">
        <f>Baseline!L49</f>
        <v>77524.645091207407</v>
      </c>
      <c r="M5" s="156">
        <f>Baseline!M49</f>
        <v>74645.1740233007</v>
      </c>
      <c r="N5" s="156">
        <f>Baseline!N49</f>
        <v>75087.898376864789</v>
      </c>
      <c r="O5" s="156">
        <f>Baseline!O49</f>
        <v>75519.564726872341</v>
      </c>
      <c r="P5" s="156">
        <f>Baseline!P49</f>
        <v>76566.882334300579</v>
      </c>
      <c r="Q5" s="157">
        <f>Baseline!Q49</f>
        <v>73885.522004038517</v>
      </c>
    </row>
    <row r="6" spans="2:17" x14ac:dyDescent="0.2">
      <c r="B6" s="18" t="s">
        <v>35</v>
      </c>
      <c r="C6" s="18"/>
      <c r="D6" s="18"/>
      <c r="E6" s="155">
        <f>Baseline!E50</f>
        <v>58597.875</v>
      </c>
      <c r="F6" s="156">
        <f>Baseline!F50</f>
        <v>67966.187000000005</v>
      </c>
      <c r="G6" s="156">
        <f>Baseline!G50</f>
        <v>68324.684170000008</v>
      </c>
      <c r="H6" s="156">
        <f>Baseline!H50</f>
        <v>68679.394819075023</v>
      </c>
      <c r="I6" s="156">
        <f>Baseline!I50</f>
        <v>67184.998508445773</v>
      </c>
      <c r="J6" s="156">
        <f>Baseline!J50</f>
        <v>71496.22491434688</v>
      </c>
      <c r="K6" s="156">
        <f>Baseline!K50</f>
        <v>76960.528798950429</v>
      </c>
      <c r="L6" s="156">
        <f>Baseline!L50</f>
        <v>77524.645091207407</v>
      </c>
      <c r="M6" s="156">
        <f>Baseline!M50</f>
        <v>74645.1740233007</v>
      </c>
      <c r="N6" s="156">
        <f>Baseline!N50</f>
        <v>75087.898376864789</v>
      </c>
      <c r="O6" s="156">
        <f>Baseline!O50</f>
        <v>75519.564726872355</v>
      </c>
      <c r="P6" s="156">
        <f>Baseline!P50</f>
        <v>76566.882334300579</v>
      </c>
      <c r="Q6" s="157">
        <f>Baseline!Q50</f>
        <v>73885.522004038517</v>
      </c>
    </row>
    <row r="7" spans="2:17" x14ac:dyDescent="0.2">
      <c r="B7" s="11" t="s">
        <v>81</v>
      </c>
      <c r="C7" s="11"/>
      <c r="D7" s="11"/>
      <c r="E7" s="31">
        <f>SUM(E3:E6)</f>
        <v>184474</v>
      </c>
      <c r="F7" s="32">
        <f t="shared" ref="F7:Q7" si="0">SUM(F3:F6)</f>
        <v>208695.00000000003</v>
      </c>
      <c r="G7" s="32">
        <f t="shared" si="0"/>
        <v>211416</v>
      </c>
      <c r="H7" s="32">
        <f t="shared" si="0"/>
        <v>214186</v>
      </c>
      <c r="I7" s="32">
        <f t="shared" si="0"/>
        <v>213316</v>
      </c>
      <c r="J7" s="32">
        <f t="shared" si="0"/>
        <v>240635</v>
      </c>
      <c r="K7" s="32">
        <f t="shared" si="0"/>
        <v>262734</v>
      </c>
      <c r="L7" s="32">
        <f t="shared" si="0"/>
        <v>266852</v>
      </c>
      <c r="M7" s="32">
        <f t="shared" si="0"/>
        <v>264167</v>
      </c>
      <c r="N7" s="32">
        <f t="shared" si="0"/>
        <v>268213</v>
      </c>
      <c r="O7" s="32">
        <f t="shared" si="0"/>
        <v>272326</v>
      </c>
      <c r="P7" s="32">
        <f t="shared" si="0"/>
        <v>277762</v>
      </c>
      <c r="Q7" s="33">
        <f t="shared" si="0"/>
        <v>275835</v>
      </c>
    </row>
    <row r="8" spans="2:17" x14ac:dyDescent="0.2">
      <c r="B8" s="14"/>
    </row>
    <row r="9" spans="2:17" x14ac:dyDescent="0.2">
      <c r="B9" s="76" t="s">
        <v>92</v>
      </c>
      <c r="C9" s="76"/>
      <c r="D9" s="76"/>
      <c r="E9" s="77" t="s">
        <v>12</v>
      </c>
      <c r="F9" s="77" t="s">
        <v>13</v>
      </c>
      <c r="G9" s="77" t="s">
        <v>14</v>
      </c>
      <c r="H9" s="77" t="s">
        <v>15</v>
      </c>
      <c r="I9" s="77" t="s">
        <v>16</v>
      </c>
      <c r="J9" s="77" t="s">
        <v>17</v>
      </c>
      <c r="K9" s="77" t="s">
        <v>18</v>
      </c>
      <c r="L9" s="77" t="s">
        <v>19</v>
      </c>
      <c r="M9" s="77" t="s">
        <v>20</v>
      </c>
      <c r="N9" s="77" t="s">
        <v>21</v>
      </c>
      <c r="O9" s="77" t="s">
        <v>22</v>
      </c>
      <c r="P9" s="77" t="s">
        <v>23</v>
      </c>
      <c r="Q9" s="77" t="s">
        <v>24</v>
      </c>
    </row>
    <row r="10" spans="2:17" x14ac:dyDescent="0.2">
      <c r="B10" s="78" t="s">
        <v>48</v>
      </c>
      <c r="C10" s="78"/>
      <c r="D10" s="78"/>
      <c r="E10" s="173">
        <f>Assumptions!E23</f>
        <v>28588950</v>
      </c>
      <c r="F10" s="173">
        <f>Assumptions!F23</f>
        <v>28588950</v>
      </c>
      <c r="G10" s="173">
        <f>Assumptions!G23</f>
        <v>28588950</v>
      </c>
      <c r="H10" s="173">
        <f>Assumptions!H23</f>
        <v>28588950</v>
      </c>
      <c r="I10" s="173">
        <f>Assumptions!I23</f>
        <v>28588950</v>
      </c>
      <c r="J10" s="173">
        <f>Assumptions!J23</f>
        <v>28588950</v>
      </c>
      <c r="K10" s="173">
        <f>Assumptions!K23</f>
        <v>28588950</v>
      </c>
      <c r="L10" s="173">
        <f>Assumptions!L23</f>
        <v>28588950</v>
      </c>
      <c r="M10" s="173">
        <f>Assumptions!M23</f>
        <v>28588950</v>
      </c>
      <c r="N10" s="173">
        <f>Assumptions!N23</f>
        <v>28588950</v>
      </c>
      <c r="O10" s="173">
        <f>Assumptions!O23</f>
        <v>28588950</v>
      </c>
      <c r="P10" s="173">
        <f>Assumptions!P23</f>
        <v>28588950</v>
      </c>
      <c r="Q10" s="191">
        <f>Assumptions!Q23</f>
        <v>28588950</v>
      </c>
    </row>
    <row r="11" spans="2:17" x14ac:dyDescent="0.2">
      <c r="B11" s="78" t="s">
        <v>49</v>
      </c>
      <c r="C11" s="78"/>
      <c r="D11" s="78"/>
      <c r="E11" s="155">
        <f>Assumptions!E24</f>
        <v>14118</v>
      </c>
      <c r="F11" s="155">
        <f>Assumptions!F24</f>
        <v>14118</v>
      </c>
      <c r="G11" s="155">
        <f>Assumptions!G24</f>
        <v>14118</v>
      </c>
      <c r="H11" s="155">
        <f>Assumptions!H24</f>
        <v>14118</v>
      </c>
      <c r="I11" s="155">
        <f>Assumptions!I24</f>
        <v>14118</v>
      </c>
      <c r="J11" s="155">
        <f>Assumptions!J24</f>
        <v>14118</v>
      </c>
      <c r="K11" s="155">
        <f>Assumptions!K24</f>
        <v>14118</v>
      </c>
      <c r="L11" s="155">
        <f>Assumptions!L24</f>
        <v>14118</v>
      </c>
      <c r="M11" s="155">
        <f>Assumptions!M24</f>
        <v>14118</v>
      </c>
      <c r="N11" s="155">
        <f>Assumptions!N24</f>
        <v>14118</v>
      </c>
      <c r="O11" s="155">
        <f>Assumptions!O24</f>
        <v>14118</v>
      </c>
      <c r="P11" s="155">
        <f>Assumptions!P24</f>
        <v>14118</v>
      </c>
      <c r="Q11" s="192">
        <f>Assumptions!Q24</f>
        <v>14118</v>
      </c>
    </row>
    <row r="12" spans="2:17" x14ac:dyDescent="0.2">
      <c r="B12" s="78" t="s">
        <v>50</v>
      </c>
      <c r="C12" s="78"/>
      <c r="D12" s="78"/>
      <c r="E12" s="155">
        <f>Assumptions!E25</f>
        <v>18000000</v>
      </c>
      <c r="F12" s="155">
        <f>Assumptions!F25</f>
        <v>18000000</v>
      </c>
      <c r="G12" s="155">
        <f>Assumptions!G25</f>
        <v>18000000</v>
      </c>
      <c r="H12" s="155">
        <f>Assumptions!H25</f>
        <v>18000000</v>
      </c>
      <c r="I12" s="155">
        <f>Assumptions!I25</f>
        <v>18000000</v>
      </c>
      <c r="J12" s="155">
        <f>Assumptions!J25</f>
        <v>18000000</v>
      </c>
      <c r="K12" s="155">
        <f>Assumptions!K25</f>
        <v>18000000</v>
      </c>
      <c r="L12" s="155">
        <f>Assumptions!L25</f>
        <v>18000000</v>
      </c>
      <c r="M12" s="155">
        <f>Assumptions!M25</f>
        <v>18000000</v>
      </c>
      <c r="N12" s="155">
        <f>Assumptions!N25</f>
        <v>18000000</v>
      </c>
      <c r="O12" s="155">
        <f>Assumptions!O25</f>
        <v>18000000</v>
      </c>
      <c r="P12" s="155">
        <f>Assumptions!P25</f>
        <v>18000000</v>
      </c>
      <c r="Q12" s="192">
        <f>Assumptions!Q25</f>
        <v>18000000</v>
      </c>
    </row>
    <row r="13" spans="2:17" x14ac:dyDescent="0.2">
      <c r="B13" s="78" t="s">
        <v>51</v>
      </c>
      <c r="C13" s="78"/>
      <c r="D13" s="78"/>
      <c r="E13" s="124">
        <f>Assumptions!E26</f>
        <v>60000000</v>
      </c>
      <c r="F13" s="124">
        <f>Assumptions!F26</f>
        <v>60000000</v>
      </c>
      <c r="G13" s="124">
        <f>Assumptions!G26</f>
        <v>60000000</v>
      </c>
      <c r="H13" s="124">
        <f>Assumptions!H26</f>
        <v>60000000</v>
      </c>
      <c r="I13" s="124">
        <f>Assumptions!I26</f>
        <v>60000000</v>
      </c>
      <c r="J13" s="124">
        <f>Assumptions!J26</f>
        <v>60000000</v>
      </c>
      <c r="K13" s="124">
        <f>Assumptions!K26</f>
        <v>60000000</v>
      </c>
      <c r="L13" s="124">
        <f>Assumptions!L26</f>
        <v>60000000</v>
      </c>
      <c r="M13" s="124">
        <f>Assumptions!M26</f>
        <v>60000000</v>
      </c>
      <c r="N13" s="124">
        <f>Assumptions!N26</f>
        <v>60000000</v>
      </c>
      <c r="O13" s="124">
        <f>Assumptions!O26</f>
        <v>60000000</v>
      </c>
      <c r="P13" s="124">
        <f>Assumptions!P26</f>
        <v>60000000</v>
      </c>
      <c r="Q13" s="193">
        <f>Assumptions!Q26</f>
        <v>60000000</v>
      </c>
    </row>
    <row r="14" spans="2:17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x14ac:dyDescent="0.2">
      <c r="B15" s="78" t="s">
        <v>52</v>
      </c>
      <c r="C15" s="78"/>
      <c r="D15" s="78"/>
      <c r="E15" s="173">
        <f>Assumptions!E29</f>
        <v>5957550</v>
      </c>
      <c r="F15" s="173">
        <f>Assumptions!F29</f>
        <v>7148250</v>
      </c>
      <c r="G15" s="173">
        <f>Assumptions!G29</f>
        <v>7148250</v>
      </c>
      <c r="H15" s="173">
        <f>Assumptions!H29</f>
        <v>7148250</v>
      </c>
      <c r="I15" s="173">
        <f>Assumptions!I29</f>
        <v>7148250</v>
      </c>
      <c r="J15" s="173">
        <f>Assumptions!J29</f>
        <v>7148250</v>
      </c>
      <c r="K15" s="173">
        <f>Assumptions!K29</f>
        <v>7148250</v>
      </c>
      <c r="L15" s="173">
        <f>Assumptions!L29</f>
        <v>7148250</v>
      </c>
      <c r="M15" s="173">
        <f>Assumptions!M29</f>
        <v>7148250</v>
      </c>
      <c r="N15" s="173">
        <f>Assumptions!N29</f>
        <v>7148250</v>
      </c>
      <c r="O15" s="173">
        <f>Assumptions!O29</f>
        <v>7148250</v>
      </c>
      <c r="P15" s="173">
        <f>Assumptions!P29</f>
        <v>7148250</v>
      </c>
      <c r="Q15" s="191">
        <f>Assumptions!Q29</f>
        <v>7148250</v>
      </c>
    </row>
    <row r="16" spans="2:17" x14ac:dyDescent="0.2">
      <c r="B16" s="78" t="s">
        <v>53</v>
      </c>
      <c r="C16" s="78"/>
      <c r="D16" s="78"/>
      <c r="E16" s="155">
        <f>Assumptions!E30</f>
        <v>5884</v>
      </c>
      <c r="F16" s="155">
        <f>Assumptions!F30</f>
        <v>7060</v>
      </c>
      <c r="G16" s="155">
        <f>Assumptions!G30</f>
        <v>7060</v>
      </c>
      <c r="H16" s="155">
        <f>Assumptions!H30</f>
        <v>7060</v>
      </c>
      <c r="I16" s="155">
        <f>Assumptions!I30</f>
        <v>7060</v>
      </c>
      <c r="J16" s="155">
        <f>Assumptions!J30</f>
        <v>7060</v>
      </c>
      <c r="K16" s="155">
        <f>Assumptions!K30</f>
        <v>7060</v>
      </c>
      <c r="L16" s="155">
        <f>Assumptions!L30</f>
        <v>7060</v>
      </c>
      <c r="M16" s="155">
        <f>Assumptions!M30</f>
        <v>7060</v>
      </c>
      <c r="N16" s="155">
        <f>Assumptions!N30</f>
        <v>7060</v>
      </c>
      <c r="O16" s="155">
        <f>Assumptions!O30</f>
        <v>7060</v>
      </c>
      <c r="P16" s="155">
        <f>Assumptions!P30</f>
        <v>7060</v>
      </c>
      <c r="Q16" s="192">
        <f>Assumptions!Q30</f>
        <v>7060</v>
      </c>
    </row>
    <row r="17" spans="2:17" x14ac:dyDescent="0.2">
      <c r="B17" s="78" t="s">
        <v>54</v>
      </c>
      <c r="C17" s="78"/>
      <c r="D17" s="78"/>
      <c r="E17" s="155">
        <f>Assumptions!E31</f>
        <v>3750000</v>
      </c>
      <c r="F17" s="155">
        <f>Assumptions!F31</f>
        <v>4500000</v>
      </c>
      <c r="G17" s="155">
        <f>Assumptions!G31</f>
        <v>4500000</v>
      </c>
      <c r="H17" s="155">
        <f>Assumptions!H31</f>
        <v>4500000</v>
      </c>
      <c r="I17" s="155">
        <f>Assumptions!I31</f>
        <v>4500000</v>
      </c>
      <c r="J17" s="155">
        <f>Assumptions!J31</f>
        <v>4500000</v>
      </c>
      <c r="K17" s="155">
        <f>Assumptions!K31</f>
        <v>4500000</v>
      </c>
      <c r="L17" s="155">
        <f>Assumptions!L31</f>
        <v>4500000</v>
      </c>
      <c r="M17" s="155">
        <f>Assumptions!M31</f>
        <v>4500000</v>
      </c>
      <c r="N17" s="155">
        <f>Assumptions!N31</f>
        <v>4500000</v>
      </c>
      <c r="O17" s="155">
        <f>Assumptions!O31</f>
        <v>4500000</v>
      </c>
      <c r="P17" s="155">
        <f>Assumptions!P31</f>
        <v>4500000</v>
      </c>
      <c r="Q17" s="192">
        <f>Assumptions!Q31</f>
        <v>4500000</v>
      </c>
    </row>
    <row r="18" spans="2:17" x14ac:dyDescent="0.2">
      <c r="B18" s="78" t="s">
        <v>55</v>
      </c>
      <c r="C18" s="78"/>
      <c r="D18" s="78"/>
      <c r="E18" s="124">
        <f>Assumptions!E32</f>
        <v>25000000</v>
      </c>
      <c r="F18" s="124">
        <f>Assumptions!F32</f>
        <v>30000000</v>
      </c>
      <c r="G18" s="124">
        <f>Assumptions!G32</f>
        <v>30000000</v>
      </c>
      <c r="H18" s="124">
        <f>Assumptions!H32</f>
        <v>30000000</v>
      </c>
      <c r="I18" s="124">
        <f>Assumptions!I32</f>
        <v>30000000</v>
      </c>
      <c r="J18" s="124">
        <f>Assumptions!J32</f>
        <v>30000000</v>
      </c>
      <c r="K18" s="124">
        <f>Assumptions!K32</f>
        <v>30000000</v>
      </c>
      <c r="L18" s="124">
        <f>Assumptions!L32</f>
        <v>30000000</v>
      </c>
      <c r="M18" s="124">
        <f>Assumptions!M32</f>
        <v>30000000</v>
      </c>
      <c r="N18" s="124">
        <f>Assumptions!N32</f>
        <v>30000000</v>
      </c>
      <c r="O18" s="124">
        <f>Assumptions!O32</f>
        <v>30000000</v>
      </c>
      <c r="P18" s="124">
        <f>Assumptions!P32</f>
        <v>30000000</v>
      </c>
      <c r="Q18" s="193">
        <f>Assumptions!Q32</f>
        <v>30000000</v>
      </c>
    </row>
    <row r="19" spans="2:17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x14ac:dyDescent="0.2">
      <c r="B20" s="78" t="s">
        <v>56</v>
      </c>
      <c r="C20" s="78"/>
      <c r="D20" s="78"/>
      <c r="E20" s="173">
        <f>Assumptions!E35</f>
        <v>0</v>
      </c>
      <c r="F20" s="174">
        <f>Assumptions!F35</f>
        <v>0</v>
      </c>
      <c r="G20" s="174">
        <f>Assumptions!G35</f>
        <v>0</v>
      </c>
      <c r="H20" s="174">
        <f>Assumptions!H35</f>
        <v>0</v>
      </c>
      <c r="I20" s="174">
        <f>Assumptions!I35</f>
        <v>0</v>
      </c>
      <c r="J20" s="174">
        <f>Assumptions!J35</f>
        <v>5400135</v>
      </c>
      <c r="K20" s="174">
        <f>Assumptions!K35</f>
        <v>8101350</v>
      </c>
      <c r="L20" s="174">
        <f>Assumptions!L35</f>
        <v>8101350</v>
      </c>
      <c r="M20" s="174">
        <f>Assumptions!M35</f>
        <v>8101350</v>
      </c>
      <c r="N20" s="174">
        <f>Assumptions!N35</f>
        <v>8101350</v>
      </c>
      <c r="O20" s="174">
        <f>Assumptions!O35</f>
        <v>8101350</v>
      </c>
      <c r="P20" s="174">
        <f>Assumptions!P35</f>
        <v>8101350</v>
      </c>
      <c r="Q20" s="190">
        <f>Assumptions!Q35</f>
        <v>8101350</v>
      </c>
    </row>
    <row r="21" spans="2:17" x14ac:dyDescent="0.2">
      <c r="B21" s="78" t="s">
        <v>57</v>
      </c>
      <c r="C21" s="78"/>
      <c r="D21" s="78"/>
      <c r="E21" s="155">
        <f>Assumptions!E36</f>
        <v>0</v>
      </c>
      <c r="F21" s="156">
        <f>Assumptions!F36</f>
        <v>0</v>
      </c>
      <c r="G21" s="156">
        <f>Assumptions!G36</f>
        <v>0</v>
      </c>
      <c r="H21" s="156">
        <f>Assumptions!H36</f>
        <v>0</v>
      </c>
      <c r="I21" s="156">
        <f>Assumptions!I36</f>
        <v>0</v>
      </c>
      <c r="J21" s="156">
        <f>Assumptions!J36</f>
        <v>4706</v>
      </c>
      <c r="K21" s="156">
        <f>Assumptions!K36</f>
        <v>7060</v>
      </c>
      <c r="L21" s="156">
        <f>Assumptions!L36</f>
        <v>7060</v>
      </c>
      <c r="M21" s="156">
        <f>Assumptions!M36</f>
        <v>7060</v>
      </c>
      <c r="N21" s="156">
        <f>Assumptions!N36</f>
        <v>7060</v>
      </c>
      <c r="O21" s="156">
        <f>Assumptions!O36</f>
        <v>7060</v>
      </c>
      <c r="P21" s="156">
        <f>Assumptions!P36</f>
        <v>7060</v>
      </c>
      <c r="Q21" s="157">
        <f>Assumptions!Q36</f>
        <v>7060</v>
      </c>
    </row>
    <row r="22" spans="2:17" x14ac:dyDescent="0.2">
      <c r="B22" s="78" t="s">
        <v>58</v>
      </c>
      <c r="C22" s="78"/>
      <c r="D22" s="78"/>
      <c r="E22" s="155">
        <f>Assumptions!E37</f>
        <v>0</v>
      </c>
      <c r="F22" s="156">
        <f>Assumptions!F37</f>
        <v>0</v>
      </c>
      <c r="G22" s="156">
        <f>Assumptions!G37</f>
        <v>0</v>
      </c>
      <c r="H22" s="156">
        <f>Assumptions!H37</f>
        <v>0</v>
      </c>
      <c r="I22" s="156">
        <f>Assumptions!I37</f>
        <v>0</v>
      </c>
      <c r="J22" s="156">
        <f>Assumptions!J37</f>
        <v>3400000</v>
      </c>
      <c r="K22" s="156">
        <f>Assumptions!K37</f>
        <v>5100000</v>
      </c>
      <c r="L22" s="156">
        <f>Assumptions!L37</f>
        <v>5100000</v>
      </c>
      <c r="M22" s="156">
        <f>Assumptions!M37</f>
        <v>5100000</v>
      </c>
      <c r="N22" s="156">
        <f>Assumptions!N37</f>
        <v>5100000</v>
      </c>
      <c r="O22" s="156">
        <f>Assumptions!O37</f>
        <v>5100000</v>
      </c>
      <c r="P22" s="156">
        <f>Assumptions!P37</f>
        <v>5100000</v>
      </c>
      <c r="Q22" s="157">
        <f>Assumptions!Q37</f>
        <v>5100000</v>
      </c>
    </row>
    <row r="23" spans="2:17" x14ac:dyDescent="0.2">
      <c r="B23" s="78" t="s">
        <v>59</v>
      </c>
      <c r="C23" s="78"/>
      <c r="D23" s="78"/>
      <c r="E23" s="124">
        <f>Assumptions!E38</f>
        <v>0</v>
      </c>
      <c r="F23" s="125">
        <f>Assumptions!F38</f>
        <v>0</v>
      </c>
      <c r="G23" s="125">
        <f>Assumptions!G38</f>
        <v>0</v>
      </c>
      <c r="H23" s="125">
        <f>Assumptions!H38</f>
        <v>0</v>
      </c>
      <c r="I23" s="125">
        <f>Assumptions!I38</f>
        <v>0</v>
      </c>
      <c r="J23" s="125">
        <f>Assumptions!J38</f>
        <v>20000000</v>
      </c>
      <c r="K23" s="125">
        <f>Assumptions!K38</f>
        <v>30000000</v>
      </c>
      <c r="L23" s="125">
        <f>Assumptions!L38</f>
        <v>30000000</v>
      </c>
      <c r="M23" s="125">
        <f>Assumptions!M38</f>
        <v>30000000</v>
      </c>
      <c r="N23" s="125">
        <f>Assumptions!N38</f>
        <v>30000000</v>
      </c>
      <c r="O23" s="125">
        <f>Assumptions!O38</f>
        <v>30000000</v>
      </c>
      <c r="P23" s="125">
        <f>Assumptions!P38</f>
        <v>30000000</v>
      </c>
      <c r="Q23" s="126">
        <f>Assumptions!Q38</f>
        <v>30000000</v>
      </c>
    </row>
    <row r="24" spans="2:17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x14ac:dyDescent="0.2">
      <c r="B25" s="78" t="s">
        <v>60</v>
      </c>
      <c r="C25" s="78"/>
      <c r="D25" s="78"/>
      <c r="E25" s="181">
        <f t="shared" ref="E25:J25" si="1">SUM(E10,E15,E20)</f>
        <v>34546500</v>
      </c>
      <c r="F25" s="182">
        <f t="shared" si="1"/>
        <v>35737200</v>
      </c>
      <c r="G25" s="182">
        <f t="shared" si="1"/>
        <v>35737200</v>
      </c>
      <c r="H25" s="182">
        <f t="shared" si="1"/>
        <v>35737200</v>
      </c>
      <c r="I25" s="182">
        <f t="shared" si="1"/>
        <v>35737200</v>
      </c>
      <c r="J25" s="182">
        <f t="shared" si="1"/>
        <v>41137335</v>
      </c>
      <c r="K25" s="182">
        <f t="shared" ref="K25:Q25" si="2">SUM(K10,K15,K20)</f>
        <v>43838550</v>
      </c>
      <c r="L25" s="182">
        <f t="shared" si="2"/>
        <v>43838550</v>
      </c>
      <c r="M25" s="182">
        <f t="shared" si="2"/>
        <v>43838550</v>
      </c>
      <c r="N25" s="182">
        <f t="shared" si="2"/>
        <v>43838550</v>
      </c>
      <c r="O25" s="182">
        <f t="shared" si="2"/>
        <v>43838550</v>
      </c>
      <c r="P25" s="182">
        <f t="shared" si="2"/>
        <v>43838550</v>
      </c>
      <c r="Q25" s="183">
        <f t="shared" si="2"/>
        <v>43838550</v>
      </c>
    </row>
    <row r="26" spans="2:17" x14ac:dyDescent="0.2">
      <c r="B26" s="78" t="s">
        <v>61</v>
      </c>
      <c r="C26" s="78"/>
      <c r="D26" s="78"/>
      <c r="E26" s="184">
        <f t="shared" ref="E26:Q26" si="3">SUM(E11,E16,E21)</f>
        <v>20002</v>
      </c>
      <c r="F26" s="185">
        <f t="shared" si="3"/>
        <v>21178</v>
      </c>
      <c r="G26" s="185">
        <f t="shared" si="3"/>
        <v>21178</v>
      </c>
      <c r="H26" s="185">
        <f t="shared" si="3"/>
        <v>21178</v>
      </c>
      <c r="I26" s="185">
        <f t="shared" si="3"/>
        <v>21178</v>
      </c>
      <c r="J26" s="185">
        <f t="shared" si="3"/>
        <v>25884</v>
      </c>
      <c r="K26" s="185">
        <f t="shared" si="3"/>
        <v>28238</v>
      </c>
      <c r="L26" s="185">
        <f t="shared" si="3"/>
        <v>28238</v>
      </c>
      <c r="M26" s="185">
        <f t="shared" si="3"/>
        <v>28238</v>
      </c>
      <c r="N26" s="185">
        <f t="shared" si="3"/>
        <v>28238</v>
      </c>
      <c r="O26" s="185">
        <f t="shared" si="3"/>
        <v>28238</v>
      </c>
      <c r="P26" s="185">
        <f t="shared" si="3"/>
        <v>28238</v>
      </c>
      <c r="Q26" s="186">
        <f t="shared" si="3"/>
        <v>28238</v>
      </c>
    </row>
    <row r="27" spans="2:17" x14ac:dyDescent="0.2">
      <c r="B27" s="78" t="s">
        <v>62</v>
      </c>
      <c r="C27" s="78"/>
      <c r="D27" s="78"/>
      <c r="E27" s="184">
        <f t="shared" ref="E27:Q27" si="4">SUM(E12,E17,E22)</f>
        <v>21750000</v>
      </c>
      <c r="F27" s="185">
        <f t="shared" si="4"/>
        <v>22500000</v>
      </c>
      <c r="G27" s="185">
        <f t="shared" si="4"/>
        <v>22500000</v>
      </c>
      <c r="H27" s="185">
        <f t="shared" si="4"/>
        <v>22500000</v>
      </c>
      <c r="I27" s="185">
        <f t="shared" si="4"/>
        <v>22500000</v>
      </c>
      <c r="J27" s="185">
        <f t="shared" si="4"/>
        <v>25900000</v>
      </c>
      <c r="K27" s="185">
        <f t="shared" si="4"/>
        <v>27600000</v>
      </c>
      <c r="L27" s="185">
        <f t="shared" si="4"/>
        <v>27600000</v>
      </c>
      <c r="M27" s="185">
        <f t="shared" si="4"/>
        <v>27600000</v>
      </c>
      <c r="N27" s="185">
        <f t="shared" si="4"/>
        <v>27600000</v>
      </c>
      <c r="O27" s="185">
        <f t="shared" si="4"/>
        <v>27600000</v>
      </c>
      <c r="P27" s="185">
        <f t="shared" si="4"/>
        <v>27600000</v>
      </c>
      <c r="Q27" s="186">
        <f t="shared" si="4"/>
        <v>27600000</v>
      </c>
    </row>
    <row r="28" spans="2:17" x14ac:dyDescent="0.2">
      <c r="B28" s="78" t="s">
        <v>63</v>
      </c>
      <c r="C28" s="78"/>
      <c r="D28" s="78"/>
      <c r="E28" s="187">
        <f t="shared" ref="E28:Q28" si="5">SUM(E13,E18,E23)</f>
        <v>85000000</v>
      </c>
      <c r="F28" s="188">
        <f t="shared" si="5"/>
        <v>90000000</v>
      </c>
      <c r="G28" s="188">
        <f t="shared" si="5"/>
        <v>90000000</v>
      </c>
      <c r="H28" s="188">
        <f t="shared" si="5"/>
        <v>90000000</v>
      </c>
      <c r="I28" s="188">
        <f t="shared" si="5"/>
        <v>90000000</v>
      </c>
      <c r="J28" s="188">
        <f t="shared" si="5"/>
        <v>110000000</v>
      </c>
      <c r="K28" s="188">
        <f t="shared" si="5"/>
        <v>120000000</v>
      </c>
      <c r="L28" s="188">
        <f t="shared" si="5"/>
        <v>120000000</v>
      </c>
      <c r="M28" s="188">
        <f t="shared" si="5"/>
        <v>120000000</v>
      </c>
      <c r="N28" s="188">
        <f t="shared" si="5"/>
        <v>120000000</v>
      </c>
      <c r="O28" s="188">
        <f t="shared" si="5"/>
        <v>120000000</v>
      </c>
      <c r="P28" s="188">
        <f t="shared" si="5"/>
        <v>120000000</v>
      </c>
      <c r="Q28" s="189">
        <f t="shared" si="5"/>
        <v>120000000</v>
      </c>
    </row>
    <row r="29" spans="2:17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x14ac:dyDescent="0.2">
      <c r="B30" s="76" t="s">
        <v>79</v>
      </c>
      <c r="C30" s="76"/>
      <c r="D30" s="76"/>
      <c r="E30" s="77" t="s">
        <v>12</v>
      </c>
      <c r="F30" s="77" t="s">
        <v>13</v>
      </c>
      <c r="G30" s="77" t="s">
        <v>14</v>
      </c>
      <c r="H30" s="77" t="s">
        <v>15</v>
      </c>
      <c r="I30" s="77" t="s">
        <v>16</v>
      </c>
      <c r="J30" s="77" t="s">
        <v>17</v>
      </c>
      <c r="K30" s="77" t="s">
        <v>18</v>
      </c>
      <c r="L30" s="77" t="s">
        <v>19</v>
      </c>
      <c r="M30" s="77" t="s">
        <v>20</v>
      </c>
      <c r="N30" s="77" t="s">
        <v>21</v>
      </c>
      <c r="O30" s="77" t="s">
        <v>22</v>
      </c>
      <c r="P30" s="77" t="s">
        <v>23</v>
      </c>
      <c r="Q30" s="77" t="s">
        <v>24</v>
      </c>
    </row>
    <row r="31" spans="2:17" x14ac:dyDescent="0.2">
      <c r="B31" s="96" t="s">
        <v>32</v>
      </c>
      <c r="C31" s="96"/>
      <c r="D31" s="96"/>
      <c r="E31" s="152">
        <f>Baseline!E39</f>
        <v>0.5</v>
      </c>
      <c r="F31" s="153">
        <f>Baseline!F39</f>
        <v>0.51749999999999996</v>
      </c>
      <c r="G31" s="153">
        <f>Baseline!G39</f>
        <v>0.53561249999999994</v>
      </c>
      <c r="H31" s="153">
        <f>Baseline!H39</f>
        <v>0.55435893749999987</v>
      </c>
      <c r="I31" s="153">
        <f>Baseline!I39</f>
        <v>0.57376150031249984</v>
      </c>
      <c r="J31" s="153">
        <f>Baseline!J39</f>
        <v>0.59384315282343725</v>
      </c>
      <c r="K31" s="153">
        <f>Baseline!K39</f>
        <v>0.61462766317225748</v>
      </c>
      <c r="L31" s="153">
        <f>Baseline!L39</f>
        <v>0.63613963138328644</v>
      </c>
      <c r="M31" s="153">
        <f>Baseline!M39</f>
        <v>0.65840451848170145</v>
      </c>
      <c r="N31" s="153">
        <f>Baseline!N39</f>
        <v>0.6814486766285609</v>
      </c>
      <c r="O31" s="153">
        <f>Baseline!O39</f>
        <v>0.7052993803105605</v>
      </c>
      <c r="P31" s="153">
        <f>Baseline!P39</f>
        <v>0.72998485862143003</v>
      </c>
      <c r="Q31" s="154">
        <f>Baseline!Q39</f>
        <v>0.75553432867318004</v>
      </c>
    </row>
    <row r="32" spans="2:17" x14ac:dyDescent="0.2">
      <c r="B32" s="96" t="s">
        <v>33</v>
      </c>
      <c r="C32" s="96"/>
      <c r="D32" s="96"/>
      <c r="E32" s="155">
        <f>Baseline!E40</f>
        <v>2500</v>
      </c>
      <c r="F32" s="156">
        <f>Baseline!F40</f>
        <v>2562.5</v>
      </c>
      <c r="G32" s="156">
        <f>Baseline!G40</f>
        <v>2626.5624999999995</v>
      </c>
      <c r="H32" s="156">
        <f>Baseline!H40</f>
        <v>2692.2265624999991</v>
      </c>
      <c r="I32" s="156">
        <f>Baseline!I40</f>
        <v>2759.5322265624986</v>
      </c>
      <c r="J32" s="156">
        <f>Baseline!J40</f>
        <v>2828.520532226561</v>
      </c>
      <c r="K32" s="156">
        <f>Baseline!K40</f>
        <v>2899.233545532225</v>
      </c>
      <c r="L32" s="156">
        <f>Baseline!L40</f>
        <v>2971.7143841705301</v>
      </c>
      <c r="M32" s="156">
        <f>Baseline!M40</f>
        <v>3046.0072437747931</v>
      </c>
      <c r="N32" s="156">
        <f>Baseline!N40</f>
        <v>3122.1574248691627</v>
      </c>
      <c r="O32" s="156">
        <f>Baseline!O40</f>
        <v>3200.2113604908914</v>
      </c>
      <c r="P32" s="156">
        <f>Baseline!P40</f>
        <v>3280.2166445031635</v>
      </c>
      <c r="Q32" s="157">
        <f>Baseline!Q40</f>
        <v>3362.2220606157421</v>
      </c>
    </row>
    <row r="33" spans="2:17" x14ac:dyDescent="0.2">
      <c r="B33" s="96" t="s">
        <v>34</v>
      </c>
      <c r="C33" s="96"/>
      <c r="D33" s="96"/>
      <c r="E33" s="194">
        <f>Baseline!E41</f>
        <v>2.6941551724137933</v>
      </c>
      <c r="F33" s="195">
        <f>Baseline!F41</f>
        <v>3.0207194222222222</v>
      </c>
      <c r="G33" s="195">
        <f>Baseline!G41</f>
        <v>3.0366526297777781</v>
      </c>
      <c r="H33" s="195">
        <f>Baseline!H41</f>
        <v>3.0524175475144451</v>
      </c>
      <c r="I33" s="195">
        <f>Baseline!I41</f>
        <v>2.9859999337087006</v>
      </c>
      <c r="J33" s="195">
        <f>Baseline!J41</f>
        <v>2.7604720044149373</v>
      </c>
      <c r="K33" s="195">
        <f>Baseline!K41</f>
        <v>2.7884249564837114</v>
      </c>
      <c r="L33" s="195">
        <f>Baseline!L41</f>
        <v>2.8088639525799781</v>
      </c>
      <c r="M33" s="195">
        <f>Baseline!M41</f>
        <v>2.704535290699301</v>
      </c>
      <c r="N33" s="195">
        <f>Baseline!N41</f>
        <v>2.7205760281472751</v>
      </c>
      <c r="O33" s="195">
        <f>Baseline!O41</f>
        <v>2.736216113292476</v>
      </c>
      <c r="P33" s="195">
        <f>Baseline!P41</f>
        <v>2.7741624034166876</v>
      </c>
      <c r="Q33" s="196">
        <f>Baseline!Q41</f>
        <v>2.6770116668129895</v>
      </c>
    </row>
    <row r="34" spans="2:17" x14ac:dyDescent="0.2">
      <c r="B34" s="96" t="s">
        <v>35</v>
      </c>
      <c r="C34" s="96"/>
      <c r="D34" s="96"/>
      <c r="E34" s="197">
        <f>Baseline!E42</f>
        <v>0.68938676470588234</v>
      </c>
      <c r="F34" s="198">
        <f>Baseline!F42</f>
        <v>0.75517985555555556</v>
      </c>
      <c r="G34" s="198">
        <f>Baseline!G42</f>
        <v>0.75916315744444451</v>
      </c>
      <c r="H34" s="198">
        <f>Baseline!H42</f>
        <v>0.76310438687861126</v>
      </c>
      <c r="I34" s="198">
        <f>Baseline!I42</f>
        <v>0.74649998342717516</v>
      </c>
      <c r="J34" s="198">
        <f>Baseline!J42</f>
        <v>0.64996568103951702</v>
      </c>
      <c r="K34" s="198">
        <f>Baseline!K42</f>
        <v>0.64133773999125365</v>
      </c>
      <c r="L34" s="198">
        <f>Baseline!L42</f>
        <v>0.646038709093395</v>
      </c>
      <c r="M34" s="198">
        <f>Baseline!M42</f>
        <v>0.62204311686083924</v>
      </c>
      <c r="N34" s="198">
        <f>Baseline!N42</f>
        <v>0.62573248647387325</v>
      </c>
      <c r="O34" s="198">
        <f>Baseline!O42</f>
        <v>0.62932970605726957</v>
      </c>
      <c r="P34" s="198">
        <f>Baseline!P42</f>
        <v>0.63805735278583819</v>
      </c>
      <c r="Q34" s="199">
        <f>Baseline!Q42</f>
        <v>0.61571268336698759</v>
      </c>
    </row>
    <row r="35" spans="2:17" x14ac:dyDescent="0.2">
      <c r="F35" s="260"/>
    </row>
    <row r="36" spans="2:17" x14ac:dyDescent="0.2">
      <c r="B36" s="204" t="s">
        <v>121</v>
      </c>
      <c r="C36" s="76"/>
      <c r="D36" s="76"/>
      <c r="E36" s="3" t="s">
        <v>12</v>
      </c>
      <c r="F36" s="3" t="s">
        <v>13</v>
      </c>
      <c r="G36" s="3" t="s">
        <v>14</v>
      </c>
      <c r="H36" s="3" t="s">
        <v>15</v>
      </c>
      <c r="I36" s="3" t="s">
        <v>16</v>
      </c>
      <c r="J36" s="3" t="s">
        <v>17</v>
      </c>
      <c r="K36" s="3" t="s">
        <v>18</v>
      </c>
      <c r="L36" s="3" t="s">
        <v>19</v>
      </c>
      <c r="M36" s="3" t="s">
        <v>20</v>
      </c>
      <c r="N36" s="3" t="s">
        <v>21</v>
      </c>
      <c r="O36" s="3" t="s">
        <v>22</v>
      </c>
      <c r="P36" s="3" t="s">
        <v>23</v>
      </c>
      <c r="Q36" s="3" t="s">
        <v>24</v>
      </c>
    </row>
    <row r="37" spans="2:17" x14ac:dyDescent="0.2">
      <c r="B37" s="10" t="s">
        <v>48</v>
      </c>
      <c r="C37" s="10"/>
      <c r="D37" s="10"/>
      <c r="E37" s="175">
        <f>(E38*AVERAGE(Assumptions!$D$17,Assumptions!$D$18)*Assumptions!$D$15)/1000</f>
        <v>28588950</v>
      </c>
      <c r="F37" s="175">
        <f>(F38*AVERAGE(Assumptions!$D$17,Assumptions!$D$18)*Assumptions!$D$15)/1000</f>
        <v>28588950</v>
      </c>
      <c r="G37" s="175">
        <f>(G38*AVERAGE(Assumptions!$D$17,Assumptions!$D$18)*Assumptions!$D$15)/1000</f>
        <v>28588950</v>
      </c>
      <c r="H37" s="175">
        <f>(H38*AVERAGE(Assumptions!$D$17,Assumptions!$D$18)*Assumptions!$D$15)/1000</f>
        <v>28588950</v>
      </c>
      <c r="I37" s="175">
        <f>(I38*AVERAGE(Assumptions!$D$17,Assumptions!$D$18)*Assumptions!$D$15)/1000</f>
        <v>28588950</v>
      </c>
      <c r="J37" s="175">
        <f>(J38*AVERAGE(Assumptions!$D$17,Assumptions!$D$18)*Assumptions!$D$15)/1000</f>
        <v>28588950</v>
      </c>
      <c r="K37" s="175">
        <f>(K38*AVERAGE(Assumptions!$D$17,Assumptions!$D$18)*Assumptions!$D$15)/1000</f>
        <v>28588950</v>
      </c>
      <c r="L37" s="175">
        <f>(L38*AVERAGE(Assumptions!$D$17,Assumptions!$D$18)*Assumptions!$D$15)/1000</f>
        <v>28588950</v>
      </c>
      <c r="M37" s="175">
        <f>(M38*AVERAGE(Assumptions!$D$17,Assumptions!$D$18)*Assumptions!$D$15)/1000</f>
        <v>28588950</v>
      </c>
      <c r="N37" s="175">
        <f>(N38*AVERAGE(Assumptions!$D$17,Assumptions!$D$18)*Assumptions!$D$15)/1000</f>
        <v>28588950</v>
      </c>
      <c r="O37" s="175">
        <f>(O38*AVERAGE(Assumptions!$D$17,Assumptions!$D$18)*Assumptions!$D$15)/1000</f>
        <v>28588950</v>
      </c>
      <c r="P37" s="175">
        <f>(P38*AVERAGE(Assumptions!$D$17,Assumptions!$D$18)*Assumptions!$D$15)/1000</f>
        <v>28588950</v>
      </c>
      <c r="Q37" s="205">
        <f>(Q38*AVERAGE(Assumptions!$D$17,Assumptions!$D$18)*Assumptions!$D$15)/1000</f>
        <v>28588950</v>
      </c>
    </row>
    <row r="38" spans="2:17" x14ac:dyDescent="0.2">
      <c r="B38" s="10" t="s">
        <v>49</v>
      </c>
      <c r="C38" s="10"/>
      <c r="D38" s="10"/>
      <c r="E38" s="178">
        <f>ROUNDUP(E40/Assumptions!$D$16,0)*2</f>
        <v>14118</v>
      </c>
      <c r="F38" s="178">
        <f>ROUNDUP(F40/Assumptions!$D$16,0)*2</f>
        <v>14118</v>
      </c>
      <c r="G38" s="178">
        <f>ROUNDUP(G40/Assumptions!$D$16,0)*2</f>
        <v>14118</v>
      </c>
      <c r="H38" s="178">
        <f>ROUNDUP(H40/Assumptions!$D$16,0)*2</f>
        <v>14118</v>
      </c>
      <c r="I38" s="178">
        <f>ROUNDUP(I40/Assumptions!$D$16,0)*2</f>
        <v>14118</v>
      </c>
      <c r="J38" s="178">
        <f>ROUNDUP(J40/Assumptions!$D$16,0)*2</f>
        <v>14118</v>
      </c>
      <c r="K38" s="178">
        <f>ROUNDUP(K40/Assumptions!$D$16,0)*2</f>
        <v>14118</v>
      </c>
      <c r="L38" s="178">
        <f>ROUNDUP(L40/Assumptions!$D$16,0)*2</f>
        <v>14118</v>
      </c>
      <c r="M38" s="178">
        <f>ROUNDUP(M40/Assumptions!$D$16,0)*2</f>
        <v>14118</v>
      </c>
      <c r="N38" s="178">
        <f>ROUNDUP(N40/Assumptions!$D$16,0)*2</f>
        <v>14118</v>
      </c>
      <c r="O38" s="178">
        <f>ROUNDUP(O40/Assumptions!$D$16,0)*2</f>
        <v>14118</v>
      </c>
      <c r="P38" s="178">
        <f>ROUNDUP(P40/Assumptions!$D$16,0)*2</f>
        <v>14118</v>
      </c>
      <c r="Q38" s="206">
        <f>ROUNDUP(Q40/Assumptions!$D$16,0)*2</f>
        <v>14118</v>
      </c>
    </row>
    <row r="39" spans="2:17" x14ac:dyDescent="0.2">
      <c r="B39" s="10" t="s">
        <v>50</v>
      </c>
      <c r="C39" s="10"/>
      <c r="D39" s="10"/>
      <c r="E39" s="178">
        <f>(E40*Assumptions!$D$15)/1000</f>
        <v>18000000</v>
      </c>
      <c r="F39" s="178">
        <f>(F40*Assumptions!$D$15)/1000</f>
        <v>18000000</v>
      </c>
      <c r="G39" s="178">
        <f>(G40*Assumptions!$D$15)/1000</f>
        <v>18000000</v>
      </c>
      <c r="H39" s="178">
        <f>(H40*Assumptions!$D$15)/1000</f>
        <v>18000000</v>
      </c>
      <c r="I39" s="178">
        <f>(I40*Assumptions!$D$15)/1000</f>
        <v>18000000</v>
      </c>
      <c r="J39" s="178">
        <f>(J40*Assumptions!$D$15)/1000</f>
        <v>18000000</v>
      </c>
      <c r="K39" s="178">
        <f>(K40*Assumptions!$D$15)/1000</f>
        <v>18000000</v>
      </c>
      <c r="L39" s="178">
        <f>(L40*Assumptions!$D$15)/1000</f>
        <v>18000000</v>
      </c>
      <c r="M39" s="178">
        <f>(M40*Assumptions!$D$15)/1000</f>
        <v>18000000</v>
      </c>
      <c r="N39" s="178">
        <f>(N40*Assumptions!$D$15)/1000</f>
        <v>18000000</v>
      </c>
      <c r="O39" s="178">
        <f>(O40*Assumptions!$D$15)/1000</f>
        <v>18000000</v>
      </c>
      <c r="P39" s="178">
        <f>(P40*Assumptions!$D$15)/1000</f>
        <v>18000000</v>
      </c>
      <c r="Q39" s="206">
        <f>(Q40*Assumptions!$D$15)/1000</f>
        <v>18000000</v>
      </c>
    </row>
    <row r="40" spans="2:17" x14ac:dyDescent="0.2">
      <c r="B40" s="10" t="s">
        <v>51</v>
      </c>
      <c r="C40" s="10"/>
      <c r="D40" s="10"/>
      <c r="E40" s="124">
        <f>Assumptions!E26</f>
        <v>60000000</v>
      </c>
      <c r="F40" s="124">
        <f>Assumptions!F26</f>
        <v>60000000</v>
      </c>
      <c r="G40" s="124">
        <f>Assumptions!G26</f>
        <v>60000000</v>
      </c>
      <c r="H40" s="124">
        <f>Assumptions!H26</f>
        <v>60000000</v>
      </c>
      <c r="I40" s="124">
        <f>Assumptions!I26</f>
        <v>60000000</v>
      </c>
      <c r="J40" s="124">
        <f>Assumptions!J26</f>
        <v>60000000</v>
      </c>
      <c r="K40" s="124">
        <f>Assumptions!K26</f>
        <v>60000000</v>
      </c>
      <c r="L40" s="124">
        <f>Assumptions!L26</f>
        <v>60000000</v>
      </c>
      <c r="M40" s="124">
        <f>Assumptions!M26</f>
        <v>60000000</v>
      </c>
      <c r="N40" s="124">
        <f>Assumptions!N26</f>
        <v>60000000</v>
      </c>
      <c r="O40" s="124">
        <f>Assumptions!O26</f>
        <v>60000000</v>
      </c>
      <c r="P40" s="124">
        <f>Assumptions!P26</f>
        <v>60000000</v>
      </c>
      <c r="Q40" s="193">
        <f>Assumptions!Q26</f>
        <v>60000000</v>
      </c>
    </row>
    <row r="42" spans="2:17" x14ac:dyDescent="0.2">
      <c r="B42" s="10" t="s">
        <v>52</v>
      </c>
      <c r="C42" s="10"/>
      <c r="D42" s="10"/>
      <c r="E42" s="175">
        <f>(E43*AVERAGE(Assumptions!$E$17,Assumptions!$E$18)*Assumptions!$E$15)/1000</f>
        <v>5957550</v>
      </c>
      <c r="F42" s="175">
        <f>(F43*AVERAGE(Assumptions!$E$17,Assumptions!$E$18)*Assumptions!$E$15)/1000</f>
        <v>5957550</v>
      </c>
      <c r="G42" s="175">
        <f>(G43*AVERAGE(Assumptions!$E$17,Assumptions!$E$18)*Assumptions!$E$15)/1000</f>
        <v>7148250</v>
      </c>
      <c r="H42" s="175">
        <f>(H43*AVERAGE(Assumptions!$E$17,Assumptions!$E$18)*Assumptions!$E$15)/1000</f>
        <v>7148250</v>
      </c>
      <c r="I42" s="175">
        <f>(I43*AVERAGE(Assumptions!$E$17,Assumptions!$E$18)*Assumptions!$E$15)/1000</f>
        <v>7148250</v>
      </c>
      <c r="J42" s="175">
        <f>(J43*AVERAGE(Assumptions!$E$17,Assumptions!$E$18)*Assumptions!$E$15)/1000</f>
        <v>7148250</v>
      </c>
      <c r="K42" s="175">
        <f>(K43*AVERAGE(Assumptions!$E$17,Assumptions!$E$18)*Assumptions!$E$15)/1000</f>
        <v>7148250</v>
      </c>
      <c r="L42" s="175">
        <f>(L43*AVERAGE(Assumptions!$E$17,Assumptions!$E$18)*Assumptions!$E$15)/1000</f>
        <v>7148250</v>
      </c>
      <c r="M42" s="175">
        <f>(M43*AVERAGE(Assumptions!$E$17,Assumptions!$E$18)*Assumptions!$E$15)/1000</f>
        <v>7148250</v>
      </c>
      <c r="N42" s="175">
        <f>(N43*AVERAGE(Assumptions!$E$17,Assumptions!$E$18)*Assumptions!$E$15)/1000</f>
        <v>7148250</v>
      </c>
      <c r="O42" s="175">
        <f>(O43*AVERAGE(Assumptions!$E$17,Assumptions!$E$18)*Assumptions!$E$15)/1000</f>
        <v>7148250</v>
      </c>
      <c r="P42" s="175">
        <f>(P43*AVERAGE(Assumptions!$E$17,Assumptions!$E$18)*Assumptions!$E$15)/1000</f>
        <v>7148250</v>
      </c>
      <c r="Q42" s="205">
        <f>(Q43*AVERAGE(Assumptions!$E$17,Assumptions!$E$18)*Assumptions!$E$15)/1000</f>
        <v>7148250</v>
      </c>
    </row>
    <row r="43" spans="2:17" x14ac:dyDescent="0.2">
      <c r="B43" s="10" t="s">
        <v>53</v>
      </c>
      <c r="C43" s="10"/>
      <c r="D43" s="10"/>
      <c r="E43" s="178">
        <f>ROUNDUP(E45/Assumptions!$E$16,0)*2</f>
        <v>5884</v>
      </c>
      <c r="F43" s="178">
        <f>ROUNDUP(F45/Assumptions!$E$16,0)*2</f>
        <v>5884</v>
      </c>
      <c r="G43" s="178">
        <f>ROUNDUP(G45/Assumptions!$E$16,0)*2</f>
        <v>7060</v>
      </c>
      <c r="H43" s="178">
        <f>ROUNDUP(H45/Assumptions!$E$16,0)*2</f>
        <v>7060</v>
      </c>
      <c r="I43" s="178">
        <f>ROUNDUP(I45/Assumptions!$E$16,0)*2</f>
        <v>7060</v>
      </c>
      <c r="J43" s="178">
        <f>ROUNDUP(J45/Assumptions!$E$16,0)*2</f>
        <v>7060</v>
      </c>
      <c r="K43" s="178">
        <f>ROUNDUP(K45/Assumptions!$E$16,0)*2</f>
        <v>7060</v>
      </c>
      <c r="L43" s="178">
        <f>ROUNDUP(L45/Assumptions!$E$16,0)*2</f>
        <v>7060</v>
      </c>
      <c r="M43" s="178">
        <f>ROUNDUP(M45/Assumptions!$E$16,0)*2</f>
        <v>7060</v>
      </c>
      <c r="N43" s="178">
        <f>ROUNDUP(N45/Assumptions!$E$16,0)*2</f>
        <v>7060</v>
      </c>
      <c r="O43" s="178">
        <f>ROUNDUP(O45/Assumptions!$E$16,0)*2</f>
        <v>7060</v>
      </c>
      <c r="P43" s="178">
        <f>ROUNDUP(P45/Assumptions!$E$16,0)*2</f>
        <v>7060</v>
      </c>
      <c r="Q43" s="206">
        <f>ROUNDUP(Q45/Assumptions!$E$16,0)*2</f>
        <v>7060</v>
      </c>
    </row>
    <row r="44" spans="2:17" x14ac:dyDescent="0.2">
      <c r="B44" s="10" t="s">
        <v>54</v>
      </c>
      <c r="C44" s="10"/>
      <c r="D44" s="10"/>
      <c r="E44" s="178">
        <f>(E45*Assumptions!$E$15)/1000</f>
        <v>3750000</v>
      </c>
      <c r="F44" s="178">
        <f>(F45*Assumptions!$E$15)/1000</f>
        <v>3750000</v>
      </c>
      <c r="G44" s="178">
        <f>(G45*Assumptions!$E$15)/1000</f>
        <v>4500000</v>
      </c>
      <c r="H44" s="178">
        <f>(H45*Assumptions!$E$15)/1000</f>
        <v>4500000</v>
      </c>
      <c r="I44" s="178">
        <f>(I45*Assumptions!$E$15)/1000</f>
        <v>4500000</v>
      </c>
      <c r="J44" s="178">
        <f>(J45*Assumptions!$E$15)/1000</f>
        <v>4500000</v>
      </c>
      <c r="K44" s="178">
        <f>(K45*Assumptions!$E$15)/1000</f>
        <v>4500000</v>
      </c>
      <c r="L44" s="178">
        <f>(L45*Assumptions!$E$15)/1000</f>
        <v>4500000</v>
      </c>
      <c r="M44" s="178">
        <f>(M45*Assumptions!$E$15)/1000</f>
        <v>4500000</v>
      </c>
      <c r="N44" s="178">
        <f>(N45*Assumptions!$E$15)/1000</f>
        <v>4500000</v>
      </c>
      <c r="O44" s="178">
        <f>(O45*Assumptions!$E$15)/1000</f>
        <v>4500000</v>
      </c>
      <c r="P44" s="178">
        <f>(P45*Assumptions!$E$15)/1000</f>
        <v>4500000</v>
      </c>
      <c r="Q44" s="206">
        <f>(Q45*Assumptions!$E$15)/1000</f>
        <v>4500000</v>
      </c>
    </row>
    <row r="45" spans="2:17" x14ac:dyDescent="0.2">
      <c r="B45" s="10" t="s">
        <v>55</v>
      </c>
      <c r="C45" s="10"/>
      <c r="D45" s="10"/>
      <c r="E45" s="124">
        <f>Assumptions!E32</f>
        <v>25000000</v>
      </c>
      <c r="F45" s="200">
        <f t="shared" ref="F45" si="6">E45</f>
        <v>25000000</v>
      </c>
      <c r="G45" s="124">
        <f>Assumptions!G32</f>
        <v>30000000</v>
      </c>
      <c r="H45" s="124">
        <f>Assumptions!H32</f>
        <v>30000000</v>
      </c>
      <c r="I45" s="124">
        <f>Assumptions!I32</f>
        <v>30000000</v>
      </c>
      <c r="J45" s="124">
        <f>Assumptions!J32</f>
        <v>30000000</v>
      </c>
      <c r="K45" s="124">
        <f>Assumptions!K32</f>
        <v>30000000</v>
      </c>
      <c r="L45" s="124">
        <f>Assumptions!L32</f>
        <v>30000000</v>
      </c>
      <c r="M45" s="124">
        <f>Assumptions!M32</f>
        <v>30000000</v>
      </c>
      <c r="N45" s="124">
        <f>Assumptions!N32</f>
        <v>30000000</v>
      </c>
      <c r="O45" s="124">
        <f>Assumptions!O32</f>
        <v>30000000</v>
      </c>
      <c r="P45" s="124">
        <f>Assumptions!P32</f>
        <v>30000000</v>
      </c>
      <c r="Q45" s="193">
        <f>Assumptions!Q32</f>
        <v>30000000</v>
      </c>
    </row>
    <row r="47" spans="2:17" x14ac:dyDescent="0.2">
      <c r="B47" s="10" t="s">
        <v>56</v>
      </c>
      <c r="C47" s="10"/>
      <c r="D47" s="10"/>
      <c r="E47" s="175">
        <f>(E48*AVERAGE(Assumptions!$F$17,Assumptions!$F$18)*Assumptions!$F$15)/1000</f>
        <v>0</v>
      </c>
      <c r="F47" s="176">
        <f>(F48*AVERAGE(Assumptions!$F$17,Assumptions!$F$18)*Assumptions!$F$15)/1000</f>
        <v>0</v>
      </c>
      <c r="G47" s="176">
        <f>(G48*AVERAGE(Assumptions!$F$17,Assumptions!$F$18)*Assumptions!$F$15)/1000</f>
        <v>0</v>
      </c>
      <c r="H47" s="176">
        <f>(H48*AVERAGE(Assumptions!$F$17,Assumptions!$F$18)*Assumptions!$F$15)/1000</f>
        <v>0</v>
      </c>
      <c r="I47" s="176">
        <f>(I48*AVERAGE(Assumptions!$F$17,Assumptions!$F$18)*Assumptions!$F$15)/1000</f>
        <v>0</v>
      </c>
      <c r="J47" s="176">
        <f>(J48*AVERAGE(Assumptions!$F$17,Assumptions!$F$18)*Assumptions!$F$15)/1000</f>
        <v>5400135</v>
      </c>
      <c r="K47" s="176">
        <f>(K48*AVERAGE(Assumptions!$F$17,Assumptions!$F$18)*Assumptions!$F$15)/1000</f>
        <v>8101350</v>
      </c>
      <c r="L47" s="176">
        <f>(L48*AVERAGE(Assumptions!$F$17,Assumptions!$F$18)*Assumptions!$F$15)/1000</f>
        <v>8101350</v>
      </c>
      <c r="M47" s="176">
        <f>(M48*AVERAGE(Assumptions!$F$17,Assumptions!$F$18)*Assumptions!$F$15)/1000</f>
        <v>8101350</v>
      </c>
      <c r="N47" s="176">
        <f>(N48*AVERAGE(Assumptions!$F$17,Assumptions!$F$18)*Assumptions!$F$15)/1000</f>
        <v>8101350</v>
      </c>
      <c r="O47" s="176">
        <f>(O48*AVERAGE(Assumptions!$F$17,Assumptions!$F$18)*Assumptions!$F$15)/1000</f>
        <v>8101350</v>
      </c>
      <c r="P47" s="176">
        <f>(P48*AVERAGE(Assumptions!$F$17,Assumptions!$F$18)*Assumptions!$F$15)/1000</f>
        <v>8101350</v>
      </c>
      <c r="Q47" s="177">
        <f>(Q48*AVERAGE(Assumptions!$F$17,Assumptions!$F$18)*Assumptions!$F$15)/1000</f>
        <v>8101350</v>
      </c>
    </row>
    <row r="48" spans="2:17" x14ac:dyDescent="0.2">
      <c r="B48" s="10" t="s">
        <v>57</v>
      </c>
      <c r="C48" s="10"/>
      <c r="D48" s="10"/>
      <c r="E48" s="178">
        <f>ROUNDUP(E50/Assumptions!$F$16,0)*2</f>
        <v>0</v>
      </c>
      <c r="F48" s="179">
        <f>ROUNDUP(F50/Assumptions!$F$16,0)*2</f>
        <v>0</v>
      </c>
      <c r="G48" s="179">
        <f>ROUNDUP(G50/Assumptions!$F$16,0)*2</f>
        <v>0</v>
      </c>
      <c r="H48" s="179">
        <f>ROUNDUP(H50/Assumptions!$F$16,0)*2</f>
        <v>0</v>
      </c>
      <c r="I48" s="179">
        <f>ROUNDUP(I50/Assumptions!$F$16,0)*2</f>
        <v>0</v>
      </c>
      <c r="J48" s="179">
        <f>ROUNDUP(J50/Assumptions!$F$16,0)*2</f>
        <v>4706</v>
      </c>
      <c r="K48" s="179">
        <f>ROUNDUP(K50/Assumptions!$F$16,0)*2</f>
        <v>7060</v>
      </c>
      <c r="L48" s="179">
        <f>ROUNDUP(L50/Assumptions!$F$16,0)*2</f>
        <v>7060</v>
      </c>
      <c r="M48" s="179">
        <f>ROUNDUP(M50/Assumptions!$F$16,0)*2</f>
        <v>7060</v>
      </c>
      <c r="N48" s="179">
        <f>ROUNDUP(N50/Assumptions!$F$16,0)*2</f>
        <v>7060</v>
      </c>
      <c r="O48" s="179">
        <f>ROUNDUP(O50/Assumptions!$F$16,0)*2</f>
        <v>7060</v>
      </c>
      <c r="P48" s="179">
        <f>ROUNDUP(P50/Assumptions!$F$16,0)*2</f>
        <v>7060</v>
      </c>
      <c r="Q48" s="180">
        <f>ROUNDUP(Q50/Assumptions!$F$16,0)*2</f>
        <v>7060</v>
      </c>
    </row>
    <row r="49" spans="2:19" x14ac:dyDescent="0.2">
      <c r="B49" s="10" t="s">
        <v>58</v>
      </c>
      <c r="C49" s="10"/>
      <c r="D49" s="10"/>
      <c r="E49" s="178">
        <f>(E50*Assumptions!$F$15)/1000</f>
        <v>0</v>
      </c>
      <c r="F49" s="179">
        <f>(F50*Assumptions!$F$15)/1000</f>
        <v>0</v>
      </c>
      <c r="G49" s="179">
        <f>(G50*Assumptions!$F$15)/1000</f>
        <v>0</v>
      </c>
      <c r="H49" s="179">
        <f>(H50*Assumptions!$F$15)/1000</f>
        <v>0</v>
      </c>
      <c r="I49" s="179">
        <f>(I50*Assumptions!$F$15)/1000</f>
        <v>0</v>
      </c>
      <c r="J49" s="179">
        <f>(J50*Assumptions!$F$15)/1000</f>
        <v>3400000</v>
      </c>
      <c r="K49" s="179">
        <f>(K50*Assumptions!$F$15)/1000</f>
        <v>5100000</v>
      </c>
      <c r="L49" s="179">
        <f>(L50*Assumptions!$F$15)/1000</f>
        <v>5100000</v>
      </c>
      <c r="M49" s="179">
        <f>(M50*Assumptions!$F$15)/1000</f>
        <v>5100000</v>
      </c>
      <c r="N49" s="179">
        <f>(N50*Assumptions!$F$15)/1000</f>
        <v>5100000</v>
      </c>
      <c r="O49" s="179">
        <f>(O50*Assumptions!$F$15)/1000</f>
        <v>5100000</v>
      </c>
      <c r="P49" s="179">
        <f>(P50*Assumptions!$F$15)/1000</f>
        <v>5100000</v>
      </c>
      <c r="Q49" s="180">
        <f>(Q50*Assumptions!$F$15)/1000</f>
        <v>5100000</v>
      </c>
    </row>
    <row r="50" spans="2:19" x14ac:dyDescent="0.2">
      <c r="B50" s="10" t="s">
        <v>59</v>
      </c>
      <c r="C50" s="10"/>
      <c r="D50" s="10"/>
      <c r="E50" s="124">
        <f>Assumptions!E38</f>
        <v>0</v>
      </c>
      <c r="F50" s="125">
        <f>Assumptions!F38</f>
        <v>0</v>
      </c>
      <c r="G50" s="125">
        <f>Assumptions!G38</f>
        <v>0</v>
      </c>
      <c r="H50" s="125">
        <f>Assumptions!H38</f>
        <v>0</v>
      </c>
      <c r="I50" s="125">
        <f>Assumptions!I38</f>
        <v>0</v>
      </c>
      <c r="J50" s="125">
        <f>Assumptions!J38</f>
        <v>20000000</v>
      </c>
      <c r="K50" s="125">
        <f>Assumptions!K38</f>
        <v>30000000</v>
      </c>
      <c r="L50" s="125">
        <f>Assumptions!L38</f>
        <v>30000000</v>
      </c>
      <c r="M50" s="125">
        <f>Assumptions!M38</f>
        <v>30000000</v>
      </c>
      <c r="N50" s="125">
        <f>Assumptions!N38</f>
        <v>30000000</v>
      </c>
      <c r="O50" s="125">
        <f>Assumptions!O38</f>
        <v>30000000</v>
      </c>
      <c r="P50" s="125">
        <f>Assumptions!P38</f>
        <v>30000000</v>
      </c>
      <c r="Q50" s="126">
        <f>Assumptions!Q38</f>
        <v>30000000</v>
      </c>
    </row>
    <row r="52" spans="2:19" x14ac:dyDescent="0.2">
      <c r="B52" s="10" t="s">
        <v>60</v>
      </c>
      <c r="C52" s="10"/>
      <c r="D52" s="10"/>
      <c r="E52" s="181">
        <f>SUM(E37,E42,E47)</f>
        <v>34546500</v>
      </c>
      <c r="F52" s="201">
        <f t="shared" ref="F52:Q52" si="7">SUM(F37,F42,F47)</f>
        <v>34546500</v>
      </c>
      <c r="G52" s="182">
        <f t="shared" si="7"/>
        <v>35737200</v>
      </c>
      <c r="H52" s="182">
        <f t="shared" si="7"/>
        <v>35737200</v>
      </c>
      <c r="I52" s="182">
        <f t="shared" si="7"/>
        <v>35737200</v>
      </c>
      <c r="J52" s="182">
        <f t="shared" si="7"/>
        <v>41137335</v>
      </c>
      <c r="K52" s="182">
        <f t="shared" si="7"/>
        <v>43838550</v>
      </c>
      <c r="L52" s="182">
        <f t="shared" si="7"/>
        <v>43838550</v>
      </c>
      <c r="M52" s="182">
        <f t="shared" si="7"/>
        <v>43838550</v>
      </c>
      <c r="N52" s="182">
        <f t="shared" si="7"/>
        <v>43838550</v>
      </c>
      <c r="O52" s="182">
        <f t="shared" si="7"/>
        <v>43838550</v>
      </c>
      <c r="P52" s="182">
        <f t="shared" si="7"/>
        <v>43838550</v>
      </c>
      <c r="Q52" s="183">
        <f t="shared" si="7"/>
        <v>43838550</v>
      </c>
    </row>
    <row r="53" spans="2:19" x14ac:dyDescent="0.2">
      <c r="B53" s="10" t="s">
        <v>61</v>
      </c>
      <c r="C53" s="10"/>
      <c r="D53" s="10"/>
      <c r="E53" s="184">
        <f t="shared" ref="E53:Q55" si="8">SUM(E38,E43,E48)</f>
        <v>20002</v>
      </c>
      <c r="F53" s="202">
        <f t="shared" si="8"/>
        <v>20002</v>
      </c>
      <c r="G53" s="185">
        <f t="shared" si="8"/>
        <v>21178</v>
      </c>
      <c r="H53" s="185">
        <f t="shared" si="8"/>
        <v>21178</v>
      </c>
      <c r="I53" s="185">
        <f t="shared" si="8"/>
        <v>21178</v>
      </c>
      <c r="J53" s="185">
        <f t="shared" si="8"/>
        <v>25884</v>
      </c>
      <c r="K53" s="185">
        <f t="shared" si="8"/>
        <v>28238</v>
      </c>
      <c r="L53" s="185">
        <f t="shared" si="8"/>
        <v>28238</v>
      </c>
      <c r="M53" s="185">
        <f t="shared" si="8"/>
        <v>28238</v>
      </c>
      <c r="N53" s="185">
        <f t="shared" si="8"/>
        <v>28238</v>
      </c>
      <c r="O53" s="185">
        <f t="shared" si="8"/>
        <v>28238</v>
      </c>
      <c r="P53" s="185">
        <f t="shared" si="8"/>
        <v>28238</v>
      </c>
      <c r="Q53" s="186">
        <f t="shared" si="8"/>
        <v>28238</v>
      </c>
    </row>
    <row r="54" spans="2:19" x14ac:dyDescent="0.2">
      <c r="B54" s="10" t="s">
        <v>62</v>
      </c>
      <c r="C54" s="10"/>
      <c r="D54" s="10"/>
      <c r="E54" s="184">
        <f t="shared" si="8"/>
        <v>21750000</v>
      </c>
      <c r="F54" s="202">
        <f t="shared" si="8"/>
        <v>21750000</v>
      </c>
      <c r="G54" s="185">
        <f t="shared" si="8"/>
        <v>22500000</v>
      </c>
      <c r="H54" s="185">
        <f t="shared" si="8"/>
        <v>22500000</v>
      </c>
      <c r="I54" s="185">
        <f t="shared" si="8"/>
        <v>22500000</v>
      </c>
      <c r="J54" s="185">
        <f t="shared" si="8"/>
        <v>25900000</v>
      </c>
      <c r="K54" s="185">
        <f t="shared" si="8"/>
        <v>27600000</v>
      </c>
      <c r="L54" s="185">
        <f t="shared" si="8"/>
        <v>27600000</v>
      </c>
      <c r="M54" s="185">
        <f t="shared" si="8"/>
        <v>27600000</v>
      </c>
      <c r="N54" s="185">
        <f t="shared" si="8"/>
        <v>27600000</v>
      </c>
      <c r="O54" s="185">
        <f t="shared" si="8"/>
        <v>27600000</v>
      </c>
      <c r="P54" s="185">
        <f t="shared" si="8"/>
        <v>27600000</v>
      </c>
      <c r="Q54" s="186">
        <f t="shared" si="8"/>
        <v>27600000</v>
      </c>
    </row>
    <row r="55" spans="2:19" x14ac:dyDescent="0.2">
      <c r="B55" s="10" t="s">
        <v>63</v>
      </c>
      <c r="C55" s="10"/>
      <c r="D55" s="10"/>
      <c r="E55" s="187">
        <f t="shared" si="8"/>
        <v>85000000</v>
      </c>
      <c r="F55" s="203">
        <f t="shared" si="8"/>
        <v>85000000</v>
      </c>
      <c r="G55" s="188">
        <f t="shared" si="8"/>
        <v>90000000</v>
      </c>
      <c r="H55" s="188">
        <f t="shared" si="8"/>
        <v>90000000</v>
      </c>
      <c r="I55" s="188">
        <f t="shared" si="8"/>
        <v>90000000</v>
      </c>
      <c r="J55" s="188">
        <f t="shared" si="8"/>
        <v>110000000</v>
      </c>
      <c r="K55" s="188">
        <f t="shared" si="8"/>
        <v>120000000</v>
      </c>
      <c r="L55" s="188">
        <f t="shared" si="8"/>
        <v>120000000</v>
      </c>
      <c r="M55" s="188">
        <f t="shared" si="8"/>
        <v>120000000</v>
      </c>
      <c r="N55" s="188">
        <f t="shared" si="8"/>
        <v>120000000</v>
      </c>
      <c r="O55" s="188">
        <f t="shared" si="8"/>
        <v>120000000</v>
      </c>
      <c r="P55" s="188">
        <f t="shared" si="8"/>
        <v>120000000</v>
      </c>
      <c r="Q55" s="189">
        <f t="shared" si="8"/>
        <v>120000000</v>
      </c>
    </row>
    <row r="56" spans="2:19" x14ac:dyDescent="0.2">
      <c r="F56" s="260"/>
      <c r="G56" s="260"/>
      <c r="H56" s="14"/>
    </row>
    <row r="57" spans="2:19" x14ac:dyDescent="0.2">
      <c r="B57" s="11" t="s">
        <v>93</v>
      </c>
      <c r="C57" s="11"/>
      <c r="D57" s="11"/>
      <c r="E57" s="3" t="s">
        <v>12</v>
      </c>
      <c r="F57" s="3" t="s">
        <v>13</v>
      </c>
      <c r="G57" s="3" t="s">
        <v>14</v>
      </c>
      <c r="H57" s="3" t="s">
        <v>15</v>
      </c>
      <c r="I57" s="3" t="s">
        <v>16</v>
      </c>
      <c r="J57" s="3" t="s">
        <v>17</v>
      </c>
      <c r="K57" s="3" t="s">
        <v>18</v>
      </c>
      <c r="L57" s="3" t="s">
        <v>19</v>
      </c>
      <c r="M57" s="3" t="s">
        <v>20</v>
      </c>
      <c r="N57" s="3" t="s">
        <v>21</v>
      </c>
      <c r="O57" s="3" t="s">
        <v>22</v>
      </c>
      <c r="P57" s="3" t="s">
        <v>23</v>
      </c>
      <c r="Q57" s="3" t="s">
        <v>24</v>
      </c>
    </row>
    <row r="58" spans="2:19" x14ac:dyDescent="0.2">
      <c r="B58" s="18" t="s">
        <v>32</v>
      </c>
      <c r="C58" s="18"/>
      <c r="D58" s="18"/>
      <c r="E58" s="152">
        <f>Baseline!E39</f>
        <v>0.5</v>
      </c>
      <c r="F58" s="153">
        <f>Baseline!F39</f>
        <v>0.51749999999999996</v>
      </c>
      <c r="G58" s="153">
        <f>Baseline!G39</f>
        <v>0.53561249999999994</v>
      </c>
      <c r="H58" s="153">
        <f>Baseline!H39</f>
        <v>0.55435893749999987</v>
      </c>
      <c r="I58" s="153">
        <f>Baseline!I39</f>
        <v>0.57376150031249984</v>
      </c>
      <c r="J58" s="153">
        <f>Baseline!J39</f>
        <v>0.59384315282343725</v>
      </c>
      <c r="K58" s="153">
        <f>Baseline!K39</f>
        <v>0.61462766317225748</v>
      </c>
      <c r="L58" s="153">
        <f>Baseline!L39</f>
        <v>0.63613963138328644</v>
      </c>
      <c r="M58" s="153">
        <f>Baseline!M39</f>
        <v>0.65840451848170145</v>
      </c>
      <c r="N58" s="153">
        <f>Baseline!N39</f>
        <v>0.6814486766285609</v>
      </c>
      <c r="O58" s="153">
        <f>Baseline!O39</f>
        <v>0.7052993803105605</v>
      </c>
      <c r="P58" s="153">
        <f>Baseline!P39</f>
        <v>0.72998485862143003</v>
      </c>
      <c r="Q58" s="154">
        <f>Baseline!Q39</f>
        <v>0.75553432867318004</v>
      </c>
      <c r="S58" s="167"/>
    </row>
    <row r="59" spans="2:19" x14ac:dyDescent="0.2">
      <c r="B59" s="18" t="s">
        <v>33</v>
      </c>
      <c r="C59" s="18"/>
      <c r="D59" s="18"/>
      <c r="E59" s="155">
        <f>Baseline!E40</f>
        <v>2500</v>
      </c>
      <c r="F59" s="156">
        <f>Baseline!F40</f>
        <v>2562.5</v>
      </c>
      <c r="G59" s="156">
        <f>Baseline!G40</f>
        <v>2626.5624999999995</v>
      </c>
      <c r="H59" s="156">
        <f>Baseline!H40</f>
        <v>2692.2265624999991</v>
      </c>
      <c r="I59" s="156">
        <f>Baseline!I40</f>
        <v>2759.5322265624986</v>
      </c>
      <c r="J59" s="156">
        <f>Baseline!J40</f>
        <v>2828.520532226561</v>
      </c>
      <c r="K59" s="156">
        <f>Baseline!K40</f>
        <v>2899.233545532225</v>
      </c>
      <c r="L59" s="156">
        <f>Baseline!L40</f>
        <v>2971.7143841705301</v>
      </c>
      <c r="M59" s="156">
        <f>Baseline!M40</f>
        <v>3046.0072437747931</v>
      </c>
      <c r="N59" s="156">
        <f>Baseline!N40</f>
        <v>3122.1574248691627</v>
      </c>
      <c r="O59" s="156">
        <f>Baseline!O40</f>
        <v>3200.2113604908914</v>
      </c>
      <c r="P59" s="156">
        <f>Baseline!P40</f>
        <v>3280.2166445031635</v>
      </c>
      <c r="Q59" s="157">
        <f>Baseline!Q40</f>
        <v>3362.2220606157421</v>
      </c>
      <c r="S59" s="167"/>
    </row>
    <row r="60" spans="2:19" x14ac:dyDescent="0.2">
      <c r="B60" s="18" t="s">
        <v>34</v>
      </c>
      <c r="C60" s="18"/>
      <c r="D60" s="18"/>
      <c r="E60" s="207">
        <f>((E7*1000)-(E52*E58)-(E59*E53))/(2*E54)</f>
        <v>2.6941551724137933</v>
      </c>
      <c r="F60" s="111">
        <f>((F7*1000)-(F52*F58)-(F59*F53))/(2*F54)</f>
        <v>3.2083232471264376</v>
      </c>
      <c r="G60" s="209">
        <f>((G7*1000)-(G52*G58)-(G59*G53))/(2*G54)</f>
        <v>3.0366526297777781</v>
      </c>
      <c r="H60" s="209">
        <f t="shared" ref="H60:Q60" si="9">((H7*1000)-(H52*H58)-(H59*H53))/(2*H54)</f>
        <v>3.0524175475144451</v>
      </c>
      <c r="I60" s="209">
        <f t="shared" si="9"/>
        <v>2.9859999337087006</v>
      </c>
      <c r="J60" s="209">
        <f t="shared" si="9"/>
        <v>2.7604720044149373</v>
      </c>
      <c r="K60" s="209">
        <f t="shared" si="9"/>
        <v>2.7884249564837114</v>
      </c>
      <c r="L60" s="209">
        <f t="shared" si="9"/>
        <v>2.8088639525799781</v>
      </c>
      <c r="M60" s="209">
        <f t="shared" si="9"/>
        <v>2.704535290699301</v>
      </c>
      <c r="N60" s="209">
        <f t="shared" si="9"/>
        <v>2.7205760281472751</v>
      </c>
      <c r="O60" s="209">
        <f t="shared" si="9"/>
        <v>2.736216113292476</v>
      </c>
      <c r="P60" s="209">
        <f t="shared" si="9"/>
        <v>2.7741624034166876</v>
      </c>
      <c r="Q60" s="209">
        <f t="shared" si="9"/>
        <v>2.6770116668129895</v>
      </c>
      <c r="S60" s="6"/>
    </row>
    <row r="61" spans="2:19" x14ac:dyDescent="0.2">
      <c r="B61" s="18" t="s">
        <v>35</v>
      </c>
      <c r="C61" s="18"/>
      <c r="D61" s="18"/>
      <c r="E61" s="208">
        <f>E60*(E54/E55)</f>
        <v>0.68938676470588234</v>
      </c>
      <c r="F61" s="112">
        <f>F60*(F54/F55)</f>
        <v>0.82095330147058843</v>
      </c>
      <c r="G61" s="210">
        <f t="shared" ref="G61:Q61" si="10">G60*(G54/G55)</f>
        <v>0.75916315744444451</v>
      </c>
      <c r="H61" s="210">
        <f t="shared" si="10"/>
        <v>0.76310438687861126</v>
      </c>
      <c r="I61" s="210">
        <f t="shared" si="10"/>
        <v>0.74649998342717516</v>
      </c>
      <c r="J61" s="210">
        <f t="shared" si="10"/>
        <v>0.64996568103951702</v>
      </c>
      <c r="K61" s="210">
        <f t="shared" si="10"/>
        <v>0.64133773999125365</v>
      </c>
      <c r="L61" s="210">
        <f t="shared" si="10"/>
        <v>0.646038709093395</v>
      </c>
      <c r="M61" s="210">
        <f t="shared" si="10"/>
        <v>0.62204311686083924</v>
      </c>
      <c r="N61" s="210">
        <f t="shared" si="10"/>
        <v>0.62573248647387325</v>
      </c>
      <c r="O61" s="210">
        <f t="shared" si="10"/>
        <v>0.62932970605726957</v>
      </c>
      <c r="P61" s="210">
        <f t="shared" si="10"/>
        <v>0.63805735278583819</v>
      </c>
      <c r="Q61" s="211">
        <f t="shared" si="10"/>
        <v>0.61571268336698759</v>
      </c>
    </row>
    <row r="63" spans="2:19" x14ac:dyDescent="0.2">
      <c r="B63" s="204" t="s">
        <v>122</v>
      </c>
      <c r="C63" s="204"/>
      <c r="D63" s="204"/>
      <c r="E63" s="3" t="s">
        <v>12</v>
      </c>
      <c r="F63" s="3" t="s">
        <v>13</v>
      </c>
      <c r="G63" s="3" t="s">
        <v>14</v>
      </c>
      <c r="H63" s="3" t="s">
        <v>15</v>
      </c>
      <c r="I63" s="3" t="s">
        <v>16</v>
      </c>
      <c r="J63" s="3" t="s">
        <v>17</v>
      </c>
      <c r="K63" s="3" t="s">
        <v>18</v>
      </c>
      <c r="L63" s="3" t="s">
        <v>19</v>
      </c>
      <c r="M63" s="3" t="s">
        <v>20</v>
      </c>
      <c r="N63" s="3" t="s">
        <v>21</v>
      </c>
      <c r="O63" s="3" t="s">
        <v>22</v>
      </c>
      <c r="P63" s="3" t="s">
        <v>23</v>
      </c>
      <c r="Q63" s="3" t="s">
        <v>24</v>
      </c>
      <c r="S63" s="167"/>
    </row>
    <row r="64" spans="2:19" x14ac:dyDescent="0.2">
      <c r="B64" s="18" t="s">
        <v>32</v>
      </c>
      <c r="C64" s="18"/>
      <c r="D64" s="18"/>
      <c r="E64" s="175">
        <f>(E52*E58)/1000</f>
        <v>17273.25</v>
      </c>
      <c r="F64" s="176">
        <f t="shared" ref="F64:Q64" si="11">(F52*F58)/1000</f>
        <v>17877.813750000001</v>
      </c>
      <c r="G64" s="176">
        <f t="shared" si="11"/>
        <v>19141.291034999995</v>
      </c>
      <c r="H64" s="176">
        <f t="shared" si="11"/>
        <v>19811.236221224997</v>
      </c>
      <c r="I64" s="176">
        <f t="shared" si="11"/>
        <v>20504.629488967868</v>
      </c>
      <c r="J64" s="176">
        <f t="shared" si="11"/>
        <v>24429.124715153932</v>
      </c>
      <c r="K64" s="176">
        <f t="shared" si="11"/>
        <v>26944.385543360168</v>
      </c>
      <c r="L64" s="176">
        <f t="shared" si="11"/>
        <v>27887.439037377771</v>
      </c>
      <c r="M64" s="176">
        <f t="shared" si="11"/>
        <v>28863.499403685993</v>
      </c>
      <c r="N64" s="176">
        <f t="shared" si="11"/>
        <v>29873.721882815</v>
      </c>
      <c r="O64" s="176">
        <f t="shared" si="11"/>
        <v>30919.302148713523</v>
      </c>
      <c r="P64" s="176">
        <f t="shared" si="11"/>
        <v>32001.477723918491</v>
      </c>
      <c r="Q64" s="177">
        <f t="shared" si="11"/>
        <v>33121.529444255641</v>
      </c>
    </row>
    <row r="65" spans="2:19" x14ac:dyDescent="0.2">
      <c r="B65" s="18" t="s">
        <v>33</v>
      </c>
      <c r="C65" s="18"/>
      <c r="D65" s="18"/>
      <c r="E65" s="178">
        <f t="shared" ref="E65:Q65" si="12">(E53*E59)/1000</f>
        <v>50005</v>
      </c>
      <c r="F65" s="179">
        <f>(F53*F59)/1000</f>
        <v>51255.125</v>
      </c>
      <c r="G65" s="179">
        <f t="shared" si="12"/>
        <v>55625.34062499999</v>
      </c>
      <c r="H65" s="179">
        <f t="shared" si="12"/>
        <v>57015.974140624974</v>
      </c>
      <c r="I65" s="179">
        <f t="shared" si="12"/>
        <v>58441.373494140593</v>
      </c>
      <c r="J65" s="179">
        <f t="shared" si="12"/>
        <v>73213.425456152312</v>
      </c>
      <c r="K65" s="179">
        <f t="shared" si="12"/>
        <v>81868.556858738972</v>
      </c>
      <c r="L65" s="179">
        <f t="shared" si="12"/>
        <v>83915.270780207429</v>
      </c>
      <c r="M65" s="179">
        <f t="shared" si="12"/>
        <v>86013.152549712613</v>
      </c>
      <c r="N65" s="179">
        <f t="shared" si="12"/>
        <v>88163.481363455416</v>
      </c>
      <c r="O65" s="179">
        <f t="shared" si="12"/>
        <v>90367.568397541792</v>
      </c>
      <c r="P65" s="179">
        <f t="shared" si="12"/>
        <v>92626.757607480336</v>
      </c>
      <c r="Q65" s="180">
        <f t="shared" si="12"/>
        <v>94942.426547667332</v>
      </c>
    </row>
    <row r="66" spans="2:19" x14ac:dyDescent="0.2">
      <c r="B66" s="18" t="s">
        <v>34</v>
      </c>
      <c r="C66" s="18"/>
      <c r="D66" s="18"/>
      <c r="E66" s="178">
        <f t="shared" ref="E66:Q66" si="13">(E54*E60)/1000</f>
        <v>58597.875000000007</v>
      </c>
      <c r="F66" s="179">
        <f t="shared" si="13"/>
        <v>69781.030625000014</v>
      </c>
      <c r="G66" s="179">
        <f t="shared" si="13"/>
        <v>68324.684170000008</v>
      </c>
      <c r="H66" s="179">
        <f t="shared" si="13"/>
        <v>68679.394819075023</v>
      </c>
      <c r="I66" s="179">
        <f t="shared" si="13"/>
        <v>67184.998508445773</v>
      </c>
      <c r="J66" s="179">
        <f t="shared" si="13"/>
        <v>71496.22491434688</v>
      </c>
      <c r="K66" s="179">
        <f t="shared" si="13"/>
        <v>76960.528798950429</v>
      </c>
      <c r="L66" s="179">
        <f t="shared" si="13"/>
        <v>77524.645091207407</v>
      </c>
      <c r="M66" s="179">
        <f t="shared" si="13"/>
        <v>74645.1740233007</v>
      </c>
      <c r="N66" s="179">
        <f t="shared" si="13"/>
        <v>75087.898376864789</v>
      </c>
      <c r="O66" s="179">
        <f t="shared" si="13"/>
        <v>75519.564726872341</v>
      </c>
      <c r="P66" s="179">
        <f t="shared" si="13"/>
        <v>76566.882334300579</v>
      </c>
      <c r="Q66" s="180">
        <f t="shared" si="13"/>
        <v>73885.522004038517</v>
      </c>
    </row>
    <row r="67" spans="2:19" x14ac:dyDescent="0.2">
      <c r="B67" s="18" t="s">
        <v>35</v>
      </c>
      <c r="C67" s="18"/>
      <c r="D67" s="18"/>
      <c r="E67" s="178">
        <f t="shared" ref="E67:Q67" si="14">(E55*E61)/1000</f>
        <v>58597.875</v>
      </c>
      <c r="F67" s="179">
        <f t="shared" si="14"/>
        <v>69781.030625000014</v>
      </c>
      <c r="G67" s="179">
        <f t="shared" si="14"/>
        <v>68324.684170000008</v>
      </c>
      <c r="H67" s="179">
        <f t="shared" si="14"/>
        <v>68679.394819075023</v>
      </c>
      <c r="I67" s="179">
        <f t="shared" si="14"/>
        <v>67184.998508445773</v>
      </c>
      <c r="J67" s="179">
        <f t="shared" si="14"/>
        <v>71496.22491434688</v>
      </c>
      <c r="K67" s="179">
        <f t="shared" si="14"/>
        <v>76960.528798950429</v>
      </c>
      <c r="L67" s="179">
        <f t="shared" si="14"/>
        <v>77524.645091207407</v>
      </c>
      <c r="M67" s="179">
        <f t="shared" si="14"/>
        <v>74645.1740233007</v>
      </c>
      <c r="N67" s="179">
        <f t="shared" si="14"/>
        <v>75087.898376864789</v>
      </c>
      <c r="O67" s="179">
        <f t="shared" si="14"/>
        <v>75519.564726872355</v>
      </c>
      <c r="P67" s="179">
        <f t="shared" si="14"/>
        <v>76566.882334300579</v>
      </c>
      <c r="Q67" s="180">
        <f t="shared" si="14"/>
        <v>73885.522004038517</v>
      </c>
    </row>
    <row r="68" spans="2:19" x14ac:dyDescent="0.2">
      <c r="B68" s="204" t="s">
        <v>122</v>
      </c>
      <c r="C68" s="204"/>
      <c r="D68" s="204"/>
      <c r="E68" s="31">
        <f>SUM(E64:E67)</f>
        <v>184474</v>
      </c>
      <c r="F68" s="32">
        <f t="shared" ref="F68:Q68" si="15">SUM(F64:F67)</f>
        <v>208695.00000000003</v>
      </c>
      <c r="G68" s="32">
        <f t="shared" si="15"/>
        <v>211416</v>
      </c>
      <c r="H68" s="32">
        <f t="shared" si="15"/>
        <v>214186</v>
      </c>
      <c r="I68" s="32">
        <f t="shared" si="15"/>
        <v>213316</v>
      </c>
      <c r="J68" s="32">
        <f t="shared" si="15"/>
        <v>240635</v>
      </c>
      <c r="K68" s="32">
        <f t="shared" si="15"/>
        <v>262734</v>
      </c>
      <c r="L68" s="32">
        <f t="shared" si="15"/>
        <v>266852</v>
      </c>
      <c r="M68" s="32">
        <f t="shared" si="15"/>
        <v>264167</v>
      </c>
      <c r="N68" s="32">
        <f t="shared" si="15"/>
        <v>268213</v>
      </c>
      <c r="O68" s="32">
        <f t="shared" si="15"/>
        <v>272326</v>
      </c>
      <c r="P68" s="32">
        <f t="shared" si="15"/>
        <v>277762</v>
      </c>
      <c r="Q68" s="33">
        <f t="shared" si="15"/>
        <v>275835</v>
      </c>
    </row>
    <row r="70" spans="2:19" x14ac:dyDescent="0.2">
      <c r="B70" s="56" t="s">
        <v>109</v>
      </c>
      <c r="C70" s="56"/>
      <c r="D70" s="56"/>
      <c r="E70" s="3" t="s">
        <v>12</v>
      </c>
      <c r="F70" s="3" t="s">
        <v>13</v>
      </c>
      <c r="G70" s="3" t="s">
        <v>14</v>
      </c>
      <c r="H70" s="3" t="s">
        <v>15</v>
      </c>
      <c r="I70" s="3" t="s">
        <v>16</v>
      </c>
      <c r="J70" s="3" t="s">
        <v>17</v>
      </c>
      <c r="K70" s="3" t="s">
        <v>18</v>
      </c>
      <c r="L70" s="3" t="s">
        <v>19</v>
      </c>
      <c r="M70" s="3" t="s">
        <v>20</v>
      </c>
      <c r="N70" s="3" t="s">
        <v>21</v>
      </c>
      <c r="O70" s="3" t="s">
        <v>22</v>
      </c>
      <c r="P70" s="3" t="s">
        <v>23</v>
      </c>
      <c r="Q70" s="3" t="s">
        <v>24</v>
      </c>
    </row>
    <row r="71" spans="2:19" x14ac:dyDescent="0.2">
      <c r="B71" s="57" t="s">
        <v>103</v>
      </c>
      <c r="C71" s="57"/>
      <c r="D71" s="57"/>
      <c r="E71" s="217">
        <f>Baseline!E$12/'Volume adjust'!E68</f>
        <v>0.80790168691315756</v>
      </c>
      <c r="F71" s="218">
        <f>Baseline!F$12/'Volume adjust'!F68</f>
        <v>0.81478455478935496</v>
      </c>
      <c r="G71" s="218">
        <f>Baseline!G$12/'Volume adjust'!G68</f>
        <v>0.81145832119665184</v>
      </c>
      <c r="H71" s="218">
        <f>Baseline!H$12/'Volume adjust'!H68</f>
        <v>0.80809063808967962</v>
      </c>
      <c r="I71" s="218">
        <f>Baseline!I$12/'Volume adjust'!I68</f>
        <v>0.80128848834266264</v>
      </c>
      <c r="J71" s="218">
        <f>Baseline!J$12/'Volume adjust'!J68</f>
        <v>0.77340444002659681</v>
      </c>
      <c r="K71" s="218">
        <f>Baseline!K$12/'Volume adjust'!K68</f>
        <v>0.76476256097609197</v>
      </c>
      <c r="L71" s="218">
        <f>Baseline!L$12/'Volume adjust'!L68</f>
        <v>0.76116131801141906</v>
      </c>
      <c r="M71" s="218">
        <f>Baseline!M$12/'Volume adjust'!M68</f>
        <v>0.75119712913511472</v>
      </c>
      <c r="N71" s="218">
        <f>Baseline!N$12/'Volume adjust'!N68</f>
        <v>0.74729220941976238</v>
      </c>
      <c r="O71" s="218">
        <f>Baseline!O$12/'Volume adjust'!O68</f>
        <v>0.74332237097387888</v>
      </c>
      <c r="P71" s="218">
        <f>Baseline!P$12/'Volume adjust'!P68</f>
        <v>0.74046497728603888</v>
      </c>
      <c r="Q71" s="219">
        <f>Baseline!Q$12/'Volume adjust'!Q68</f>
        <v>0.73046635542129001</v>
      </c>
      <c r="S71" s="167"/>
    </row>
    <row r="72" spans="2:19" x14ac:dyDescent="0.2">
      <c r="B72" s="57" t="s">
        <v>109</v>
      </c>
      <c r="C72" s="57"/>
      <c r="D72" s="57"/>
      <c r="E72" s="25">
        <f>E68*E71</f>
        <v>149036.85579161783</v>
      </c>
      <c r="F72" s="113">
        <f t="shared" ref="F72:Q72" si="16">F68*F71</f>
        <v>170041.46266176447</v>
      </c>
      <c r="G72" s="26">
        <f t="shared" si="16"/>
        <v>171555.27243411134</v>
      </c>
      <c r="H72" s="26">
        <f t="shared" si="16"/>
        <v>173081.70140987611</v>
      </c>
      <c r="I72" s="26">
        <f t="shared" si="16"/>
        <v>170927.65517930343</v>
      </c>
      <c r="J72" s="26">
        <f t="shared" si="16"/>
        <v>186108.17742580012</v>
      </c>
      <c r="K72" s="26">
        <f t="shared" si="16"/>
        <v>200929.12669549254</v>
      </c>
      <c r="L72" s="26">
        <f t="shared" si="16"/>
        <v>203117.42003398319</v>
      </c>
      <c r="M72" s="26">
        <f t="shared" si="16"/>
        <v>198441.49201223586</v>
      </c>
      <c r="N72" s="26">
        <f t="shared" si="16"/>
        <v>200433.48536510274</v>
      </c>
      <c r="O72" s="26">
        <f t="shared" si="16"/>
        <v>202426.00799783255</v>
      </c>
      <c r="P72" s="26">
        <f t="shared" si="16"/>
        <v>205673.03302092472</v>
      </c>
      <c r="Q72" s="27">
        <f t="shared" si="16"/>
        <v>201488.18714763154</v>
      </c>
    </row>
    <row r="73" spans="2:19" x14ac:dyDescent="0.2">
      <c r="B73" s="57"/>
      <c r="C73" s="57"/>
      <c r="D73" s="57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</row>
    <row r="74" spans="2:19" x14ac:dyDescent="0.2">
      <c r="B74" s="56" t="s">
        <v>136</v>
      </c>
      <c r="C74" s="56"/>
      <c r="D74" s="56"/>
      <c r="E74" s="3" t="s">
        <v>12</v>
      </c>
      <c r="F74" s="3" t="s">
        <v>13</v>
      </c>
      <c r="G74" s="3" t="s">
        <v>14</v>
      </c>
      <c r="H74" s="3" t="s">
        <v>15</v>
      </c>
      <c r="I74" s="3" t="s">
        <v>16</v>
      </c>
      <c r="J74" s="3" t="s">
        <v>17</v>
      </c>
      <c r="K74" s="3" t="s">
        <v>18</v>
      </c>
      <c r="L74" s="3" t="s">
        <v>19</v>
      </c>
      <c r="M74" s="3" t="s">
        <v>20</v>
      </c>
      <c r="N74" s="3" t="s">
        <v>21</v>
      </c>
      <c r="O74" s="3" t="s">
        <v>22</v>
      </c>
      <c r="P74" s="3" t="s">
        <v>23</v>
      </c>
      <c r="Q74" s="3" t="s">
        <v>24</v>
      </c>
    </row>
    <row r="75" spans="2:19" x14ac:dyDescent="0.2">
      <c r="B75" s="57" t="s">
        <v>104</v>
      </c>
      <c r="C75" s="57"/>
      <c r="D75" s="57"/>
      <c r="E75" s="245">
        <f>Baseline!E22</f>
        <v>0.16477847304441071</v>
      </c>
      <c r="F75" s="246">
        <f>Baseline!F22</f>
        <v>0.25942006483760055</v>
      </c>
      <c r="G75" s="246">
        <f>Baseline!G22</f>
        <v>0.25729268430270302</v>
      </c>
      <c r="H75" s="246">
        <f>Baseline!H22</f>
        <v>0.25503263968928064</v>
      </c>
      <c r="I75" s="246">
        <f>Baseline!I22</f>
        <v>0.23900231628308241</v>
      </c>
      <c r="J75" s="246">
        <f>Baseline!J22</f>
        <v>0.21976963512340567</v>
      </c>
      <c r="K75" s="246">
        <f>Baseline!K22</f>
        <v>0.21338795915766448</v>
      </c>
      <c r="L75" s="246">
        <f>Baseline!L22</f>
        <v>0.214147690075596</v>
      </c>
      <c r="M75" s="246">
        <f>Baseline!M22</f>
        <v>0.20154913582433245</v>
      </c>
      <c r="N75" s="246">
        <f>Baseline!N22</f>
        <v>0.20176522093212437</v>
      </c>
      <c r="O75" s="246">
        <f>Baseline!O22</f>
        <v>0.20176273796446462</v>
      </c>
      <c r="P75" s="246">
        <f>Baseline!P22</f>
        <v>0.20032051606997162</v>
      </c>
      <c r="Q75" s="247">
        <f>Baseline!Q22</f>
        <v>0.19628286004069254</v>
      </c>
    </row>
    <row r="76" spans="2:19" x14ac:dyDescent="0.2">
      <c r="B76" s="57" t="s">
        <v>105</v>
      </c>
      <c r="C76" s="57"/>
      <c r="D76" s="57"/>
      <c r="E76" s="248">
        <f>(1-Assumptions!$D$4)*E75*E72</f>
        <v>24558.065524682825</v>
      </c>
      <c r="F76" s="249">
        <f>(1-Assumptions!$D$4)*F75*F72</f>
        <v>44112.167268795369</v>
      </c>
      <c r="G76" s="249">
        <f>(1-Assumptions!$D$4)*G75*G72</f>
        <v>44139.916550854017</v>
      </c>
      <c r="H76" s="249">
        <f>(1-Assumptions!$D$4)*H75*H72</f>
        <v>44141.483192472595</v>
      </c>
      <c r="I76" s="249">
        <f>(1-Assumptions!$D$4)*I75*I72</f>
        <v>40852.105504689527</v>
      </c>
      <c r="J76" s="249">
        <f>(1-Assumptions!$D$4)*J75*J72</f>
        <v>40900.926246350136</v>
      </c>
      <c r="K76" s="249">
        <f>(1-Assumptions!$D$4)*K75*K72</f>
        <v>42875.856280882952</v>
      </c>
      <c r="L76" s="249">
        <f>(1-Assumptions!$D$4)*L75*L72</f>
        <v>43497.126314392088</v>
      </c>
      <c r="M76" s="249">
        <f>(1-Assumptions!$D$4)*M75*M72</f>
        <v>39995.71122675731</v>
      </c>
      <c r="N76" s="249">
        <f>(1-Assumptions!$D$4)*N75*N72</f>
        <v>40440.506456885669</v>
      </c>
      <c r="O76" s="249">
        <f>(1-Assumptions!$D$4)*O75*O72</f>
        <v>40842.025608859309</v>
      </c>
      <c r="P76" s="249">
        <f>(1-Assumptions!$D$4)*P75*P72</f>
        <v>41200.528116427951</v>
      </c>
      <c r="Q76" s="250">
        <f>(1-Assumptions!$D$4)*Q75*Q72</f>
        <v>39548.677637751425</v>
      </c>
      <c r="S76" s="261"/>
    </row>
    <row r="77" spans="2:19" x14ac:dyDescent="0.2">
      <c r="B77" s="10" t="s">
        <v>85</v>
      </c>
      <c r="C77" s="10"/>
      <c r="D77" s="10"/>
      <c r="E77" s="251">
        <f>Baseline!E66</f>
        <v>24557.924508646793</v>
      </c>
      <c r="F77" s="252">
        <f>Baseline!F66</f>
        <v>44112.047245050446</v>
      </c>
      <c r="G77" s="252">
        <f>Baseline!G66</f>
        <v>44140.10374823452</v>
      </c>
      <c r="H77" s="252">
        <f>Baseline!H66</f>
        <v>44141.304310060383</v>
      </c>
      <c r="I77" s="252">
        <f>Baseline!I66</f>
        <v>40851.948915318426</v>
      </c>
      <c r="J77" s="252">
        <f>Baseline!J66</f>
        <v>40900.887253546782</v>
      </c>
      <c r="K77" s="252">
        <f>Baseline!K66</f>
        <v>42875.829245590365</v>
      </c>
      <c r="L77" s="252">
        <f>Baseline!L66</f>
        <v>43497.25051277491</v>
      </c>
      <c r="M77" s="252">
        <f>Baseline!M66</f>
        <v>39995.813611252182</v>
      </c>
      <c r="N77" s="252">
        <f>Baseline!N66</f>
        <v>40440.408527088483</v>
      </c>
      <c r="O77" s="252">
        <f>Baseline!O66</f>
        <v>40842.023995194715</v>
      </c>
      <c r="P77" s="252">
        <f>Baseline!P66</f>
        <v>41200.721822175343</v>
      </c>
      <c r="Q77" s="253">
        <f>Baseline!Q66</f>
        <v>39548.640903879059</v>
      </c>
    </row>
    <row r="78" spans="2:19" x14ac:dyDescent="0.2">
      <c r="B78" s="10" t="s">
        <v>87</v>
      </c>
      <c r="C78" s="10"/>
      <c r="D78" s="10"/>
      <c r="E78" s="254">
        <f>E76-E77</f>
        <v>0.14101603603194235</v>
      </c>
      <c r="F78" s="255">
        <f t="shared" ref="F78:Q78" si="17">F76-F77</f>
        <v>0.12002374492294621</v>
      </c>
      <c r="G78" s="255">
        <f t="shared" si="17"/>
        <v>-0.18719738050276646</v>
      </c>
      <c r="H78" s="255">
        <f t="shared" si="17"/>
        <v>0.17888241221226053</v>
      </c>
      <c r="I78" s="255">
        <f t="shared" si="17"/>
        <v>0.15658937110129045</v>
      </c>
      <c r="J78" s="255">
        <f t="shared" si="17"/>
        <v>3.8992803354631178E-2</v>
      </c>
      <c r="K78" s="255">
        <f t="shared" si="17"/>
        <v>2.7035292587243021E-2</v>
      </c>
      <c r="L78" s="255">
        <f t="shared" si="17"/>
        <v>-0.12419838282221463</v>
      </c>
      <c r="M78" s="255">
        <f t="shared" si="17"/>
        <v>-0.10238449487223988</v>
      </c>
      <c r="N78" s="255">
        <f t="shared" si="17"/>
        <v>9.7929797186225187E-2</v>
      </c>
      <c r="O78" s="255">
        <f t="shared" si="17"/>
        <v>1.6136645936057903E-3</v>
      </c>
      <c r="P78" s="255">
        <f t="shared" si="17"/>
        <v>-0.1937057473915047</v>
      </c>
      <c r="Q78" s="256">
        <f t="shared" si="17"/>
        <v>3.6733872366312426E-2</v>
      </c>
    </row>
    <row r="79" spans="2:19" x14ac:dyDescent="0.2">
      <c r="B79" s="10"/>
      <c r="C79" s="10"/>
      <c r="D79" s="10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</row>
    <row r="80" spans="2:19" x14ac:dyDescent="0.2">
      <c r="B80" s="10" t="s">
        <v>88</v>
      </c>
      <c r="C80" s="10"/>
      <c r="D80" s="10"/>
      <c r="E80" s="109">
        <f>NPV(Assumptions!$D$3,E77:Q77)</f>
        <v>314165.76454773144</v>
      </c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</row>
    <row r="81" spans="2:17" x14ac:dyDescent="0.2">
      <c r="B81" s="10" t="s">
        <v>106</v>
      </c>
      <c r="C81" s="10"/>
      <c r="D81" s="10"/>
      <c r="E81" s="110">
        <f>NPV(Assumptions!$D$3,E76:Q76)</f>
        <v>314165.99225269811</v>
      </c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</row>
    <row r="82" spans="2:17" x14ac:dyDescent="0.2">
      <c r="B82" s="10" t="s">
        <v>90</v>
      </c>
      <c r="C82" s="10"/>
      <c r="D82" s="10"/>
      <c r="E82" s="63">
        <f>E81-E80</f>
        <v>0.2277049666736275</v>
      </c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</row>
    <row r="83" spans="2:17" x14ac:dyDescent="0.2">
      <c r="B83" s="57"/>
      <c r="C83" s="57"/>
      <c r="D83" s="57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17" s="262" customFormat="1" hidden="1" x14ac:dyDescent="0.2">
      <c r="B84" s="266"/>
      <c r="C84" s="266"/>
      <c r="D84" s="266"/>
      <c r="E84" s="267" t="s">
        <v>12</v>
      </c>
      <c r="F84" s="267" t="s">
        <v>13</v>
      </c>
      <c r="G84" s="267" t="s">
        <v>14</v>
      </c>
      <c r="H84" s="267" t="s">
        <v>15</v>
      </c>
      <c r="I84" s="267" t="s">
        <v>16</v>
      </c>
      <c r="J84" s="267" t="s">
        <v>17</v>
      </c>
      <c r="K84" s="267" t="s">
        <v>18</v>
      </c>
      <c r="L84" s="267" t="s">
        <v>19</v>
      </c>
      <c r="M84" s="267" t="s">
        <v>20</v>
      </c>
      <c r="N84" s="267" t="s">
        <v>21</v>
      </c>
      <c r="O84" s="267" t="s">
        <v>22</v>
      </c>
      <c r="P84" s="267" t="s">
        <v>23</v>
      </c>
      <c r="Q84" s="267" t="s">
        <v>24</v>
      </c>
    </row>
    <row r="85" spans="2:17" s="262" customFormat="1" hidden="1" x14ac:dyDescent="0.2">
      <c r="B85" s="268"/>
      <c r="C85" s="268"/>
      <c r="D85" s="268"/>
      <c r="E85" s="280">
        <f>((1/(1-Assumptions!$D$4))-1)*E76</f>
        <v>0</v>
      </c>
      <c r="F85" s="280">
        <f>((1/(1-Assumptions!$D$4))-1)*F76</f>
        <v>0</v>
      </c>
      <c r="G85" s="280">
        <f>((1/(1-Assumptions!$D$4))-1)*G76</f>
        <v>0</v>
      </c>
      <c r="H85" s="280">
        <f>((1/(1-Assumptions!$D$4))-1)*H76</f>
        <v>0</v>
      </c>
      <c r="I85" s="280">
        <f>((1/(1-Assumptions!$D$4))-1)*I76</f>
        <v>0</v>
      </c>
      <c r="J85" s="280">
        <f>((1/(1-Assumptions!$D$4))-1)*J76</f>
        <v>0</v>
      </c>
      <c r="K85" s="280">
        <f>((1/(1-Assumptions!$D$4))-1)*K76</f>
        <v>0</v>
      </c>
      <c r="L85" s="280">
        <f>((1/(1-Assumptions!$D$4))-1)*L76</f>
        <v>0</v>
      </c>
      <c r="M85" s="280">
        <f>((1/(1-Assumptions!$D$4))-1)*M76</f>
        <v>0</v>
      </c>
      <c r="N85" s="280">
        <f>((1/(1-Assumptions!$D$4))-1)*N76</f>
        <v>0</v>
      </c>
      <c r="O85" s="280">
        <f>((1/(1-Assumptions!$D$4))-1)*O76</f>
        <v>0</v>
      </c>
      <c r="P85" s="280">
        <f>((1/(1-Assumptions!$D$4))-1)*P76</f>
        <v>0</v>
      </c>
      <c r="Q85" s="280">
        <f>((1/(1-Assumptions!$D$4))-1)*Q76</f>
        <v>0</v>
      </c>
    </row>
    <row r="86" spans="2:17" s="262" customFormat="1" hidden="1" x14ac:dyDescent="0.2">
      <c r="B86" s="268"/>
      <c r="C86" s="268"/>
      <c r="D86" s="268"/>
      <c r="E86" s="281">
        <f>Baseline!E16</f>
        <v>0</v>
      </c>
      <c r="F86" s="281">
        <f>Baseline!F16</f>
        <v>0</v>
      </c>
      <c r="G86" s="281">
        <f>Baseline!G16</f>
        <v>0</v>
      </c>
      <c r="H86" s="281">
        <f>Baseline!H16</f>
        <v>0</v>
      </c>
      <c r="I86" s="281">
        <f>Baseline!I16</f>
        <v>0</v>
      </c>
      <c r="J86" s="281">
        <f>Baseline!J16</f>
        <v>0</v>
      </c>
      <c r="K86" s="281">
        <f>Baseline!K16</f>
        <v>0</v>
      </c>
      <c r="L86" s="281">
        <f>Baseline!L16</f>
        <v>0</v>
      </c>
      <c r="M86" s="281">
        <f>Baseline!M16</f>
        <v>0</v>
      </c>
      <c r="N86" s="281">
        <f>Baseline!N16</f>
        <v>0</v>
      </c>
      <c r="O86" s="281">
        <f>Baseline!O16</f>
        <v>0</v>
      </c>
      <c r="P86" s="281">
        <f>Baseline!P16</f>
        <v>0</v>
      </c>
      <c r="Q86" s="281">
        <f>Baseline!Q16</f>
        <v>0</v>
      </c>
    </row>
    <row r="87" spans="2:17" s="262" customFormat="1" hidden="1" x14ac:dyDescent="0.2">
      <c r="B87" s="268"/>
      <c r="C87" s="268"/>
      <c r="D87" s="268"/>
      <c r="E87" s="280">
        <f>E85-E86</f>
        <v>0</v>
      </c>
      <c r="F87" s="280">
        <f t="shared" ref="F87:Q87" si="18">F85-F86</f>
        <v>0</v>
      </c>
      <c r="G87" s="280">
        <f t="shared" si="18"/>
        <v>0</v>
      </c>
      <c r="H87" s="280">
        <f t="shared" si="18"/>
        <v>0</v>
      </c>
      <c r="I87" s="280">
        <f t="shared" si="18"/>
        <v>0</v>
      </c>
      <c r="J87" s="280">
        <f t="shared" si="18"/>
        <v>0</v>
      </c>
      <c r="K87" s="280">
        <f t="shared" si="18"/>
        <v>0</v>
      </c>
      <c r="L87" s="280">
        <f t="shared" si="18"/>
        <v>0</v>
      </c>
      <c r="M87" s="280">
        <f t="shared" si="18"/>
        <v>0</v>
      </c>
      <c r="N87" s="280">
        <f t="shared" si="18"/>
        <v>0</v>
      </c>
      <c r="O87" s="280">
        <f t="shared" si="18"/>
        <v>0</v>
      </c>
      <c r="P87" s="280">
        <f t="shared" si="18"/>
        <v>0</v>
      </c>
      <c r="Q87" s="280">
        <f t="shared" si="18"/>
        <v>0</v>
      </c>
    </row>
    <row r="88" spans="2:17" s="262" customFormat="1" hidden="1" x14ac:dyDescent="0.2"/>
    <row r="89" spans="2:17" s="262" customFormat="1" hidden="1" x14ac:dyDescent="0.2">
      <c r="B89" s="268"/>
      <c r="C89" s="268"/>
      <c r="D89" s="268"/>
      <c r="E89" s="281">
        <f>NPV(Assumptions!$D$3,E86:Q86)</f>
        <v>0</v>
      </c>
    </row>
    <row r="90" spans="2:17" s="262" customFormat="1" hidden="1" x14ac:dyDescent="0.2">
      <c r="B90" s="268"/>
      <c r="C90" s="268"/>
      <c r="D90" s="268"/>
      <c r="E90" s="281">
        <f>NPV(Assumptions!$D$3,E85:Q85)</f>
        <v>0</v>
      </c>
    </row>
    <row r="91" spans="2:17" s="262" customFormat="1" hidden="1" x14ac:dyDescent="0.2">
      <c r="B91" s="268"/>
      <c r="C91" s="268"/>
      <c r="D91" s="268"/>
      <c r="E91" s="281">
        <f>E90-E89</f>
        <v>0</v>
      </c>
    </row>
    <row r="92" spans="2:17" s="262" customFormat="1" hidden="1" x14ac:dyDescent="0.2"/>
    <row r="93" spans="2:17" x14ac:dyDescent="0.2">
      <c r="B93" s="56" t="s">
        <v>137</v>
      </c>
      <c r="C93" s="56"/>
      <c r="D93" s="56"/>
      <c r="E93" s="3" t="s">
        <v>12</v>
      </c>
      <c r="F93" s="3" t="s">
        <v>13</v>
      </c>
      <c r="G93" s="3" t="s">
        <v>14</v>
      </c>
      <c r="H93" s="3" t="s">
        <v>15</v>
      </c>
      <c r="I93" s="3" t="s">
        <v>16</v>
      </c>
      <c r="J93" s="3" t="s">
        <v>17</v>
      </c>
      <c r="K93" s="3" t="s">
        <v>18</v>
      </c>
      <c r="L93" s="3" t="s">
        <v>19</v>
      </c>
      <c r="M93" s="3" t="s">
        <v>20</v>
      </c>
      <c r="N93" s="3" t="s">
        <v>21</v>
      </c>
      <c r="O93" s="3" t="s">
        <v>22</v>
      </c>
      <c r="P93" s="3" t="s">
        <v>23</v>
      </c>
      <c r="Q93" s="3" t="s">
        <v>24</v>
      </c>
    </row>
    <row r="94" spans="2:17" x14ac:dyDescent="0.2">
      <c r="B94" s="57" t="s">
        <v>104</v>
      </c>
      <c r="C94" s="57"/>
      <c r="D94" s="57"/>
      <c r="E94" s="245">
        <f>Baseline!E23</f>
        <v>0</v>
      </c>
      <c r="F94" s="246">
        <f>Baseline!F23</f>
        <v>0</v>
      </c>
      <c r="G94" s="246">
        <f>Baseline!G23</f>
        <v>0</v>
      </c>
      <c r="H94" s="246">
        <f>Baseline!H23</f>
        <v>0</v>
      </c>
      <c r="I94" s="246">
        <f>Baseline!I23</f>
        <v>0</v>
      </c>
      <c r="J94" s="246">
        <f>Baseline!J23</f>
        <v>7.33088138557179E-2</v>
      </c>
      <c r="K94" s="246">
        <f>Baseline!K23</f>
        <v>0.12424406333115881</v>
      </c>
      <c r="L94" s="246">
        <f>Baseline!L23</f>
        <v>0.12290987737497053</v>
      </c>
      <c r="M94" s="246">
        <f>Baseline!M23</f>
        <v>0.11643109887944895</v>
      </c>
      <c r="N94" s="246">
        <f>Baseline!N23</f>
        <v>0.11541171638866259</v>
      </c>
      <c r="O94" s="246">
        <f>Baseline!O23</f>
        <v>0.11443097571226979</v>
      </c>
      <c r="P94" s="246">
        <f>Baseline!P23</f>
        <v>0.11886552423393439</v>
      </c>
      <c r="Q94" s="247">
        <f>Baseline!Q23</f>
        <v>0.11155667804596497</v>
      </c>
    </row>
    <row r="95" spans="2:17" x14ac:dyDescent="0.2">
      <c r="B95" s="57" t="s">
        <v>105</v>
      </c>
      <c r="C95" s="57"/>
      <c r="D95" s="57"/>
      <c r="E95" s="248">
        <f>(1-Assumptions!$D$4)*E94*E72</f>
        <v>0</v>
      </c>
      <c r="F95" s="249">
        <f>(1-Assumptions!$D$4)*F94*F72</f>
        <v>0</v>
      </c>
      <c r="G95" s="249">
        <f>(1-Assumptions!$D$4)*G94*G72</f>
        <v>0</v>
      </c>
      <c r="H95" s="249">
        <f>(1-Assumptions!$D$4)*H94*H72</f>
        <v>0</v>
      </c>
      <c r="I95" s="249">
        <f>(1-Assumptions!$D$4)*I94*I72</f>
        <v>0</v>
      </c>
      <c r="J95" s="249">
        <f>(1-Assumptions!$D$4)*J94*J72</f>
        <v>13643.369735934901</v>
      </c>
      <c r="K95" s="249">
        <f>(1-Assumptions!$D$4)*K94*K72</f>
        <v>24964.251142229208</v>
      </c>
      <c r="L95" s="249">
        <f>(1-Assumptions!$D$4)*L94*L72</f>
        <v>24965.137189097255</v>
      </c>
      <c r="M95" s="249">
        <f>(1-Assumptions!$D$4)*M94*M72</f>
        <v>23104.760978262013</v>
      </c>
      <c r="N95" s="249">
        <f>(1-Assumptions!$D$4)*N94*N72</f>
        <v>23132.372567748389</v>
      </c>
      <c r="O95" s="249">
        <f>(1-Assumptions!$D$4)*O94*O72</f>
        <v>23163.805604731708</v>
      </c>
      <c r="P95" s="249">
        <f>(1-Assumptions!$D$4)*P94*P72</f>
        <v>24447.432890815515</v>
      </c>
      <c r="Q95" s="250">
        <f>(1-Assumptions!$D$4)*Q94*Q72</f>
        <v>22477.352823693469</v>
      </c>
    </row>
    <row r="96" spans="2:17" x14ac:dyDescent="0.2">
      <c r="B96" s="10" t="s">
        <v>112</v>
      </c>
      <c r="C96" s="10"/>
      <c r="D96" s="10"/>
      <c r="E96" s="248">
        <f>Baseline!E67</f>
        <v>0</v>
      </c>
      <c r="F96" s="249">
        <f>Baseline!F67</f>
        <v>0</v>
      </c>
      <c r="G96" s="249">
        <f>Baseline!G67</f>
        <v>0</v>
      </c>
      <c r="H96" s="249">
        <f>Baseline!H67</f>
        <v>0</v>
      </c>
      <c r="I96" s="249">
        <f>Baseline!I67</f>
        <v>0</v>
      </c>
      <c r="J96" s="249">
        <f>Baseline!J67</f>
        <v>13643.356729059948</v>
      </c>
      <c r="K96" s="249">
        <f>Baseline!K67</f>
        <v>24964.235401066409</v>
      </c>
      <c r="L96" s="249">
        <f>Baseline!L67</f>
        <v>24965.208472649265</v>
      </c>
      <c r="M96" s="249">
        <f>Baseline!M67</f>
        <v>23104.820123835609</v>
      </c>
      <c r="N96" s="249">
        <f>Baseline!N67</f>
        <v>23132.316550928808</v>
      </c>
      <c r="O96" s="249">
        <f>Baseline!O67</f>
        <v>23163.804689531924</v>
      </c>
      <c r="P96" s="249">
        <f>Baseline!P67</f>
        <v>24447.54783129022</v>
      </c>
      <c r="Q96" s="250">
        <f>Baseline!Q67</f>
        <v>22477.331946125392</v>
      </c>
    </row>
    <row r="97" spans="2:17" x14ac:dyDescent="0.2">
      <c r="B97" s="10" t="s">
        <v>87</v>
      </c>
      <c r="C97" s="10"/>
      <c r="D97" s="10"/>
      <c r="E97" s="259">
        <f t="shared" ref="E97:I97" si="19">E95-E96</f>
        <v>0</v>
      </c>
      <c r="F97" s="257">
        <f t="shared" si="19"/>
        <v>0</v>
      </c>
      <c r="G97" s="257">
        <f t="shared" si="19"/>
        <v>0</v>
      </c>
      <c r="H97" s="257">
        <f t="shared" si="19"/>
        <v>0</v>
      </c>
      <c r="I97" s="257">
        <f t="shared" si="19"/>
        <v>0</v>
      </c>
      <c r="J97" s="257">
        <f>J95-J96</f>
        <v>1.3006874953134684E-2</v>
      </c>
      <c r="K97" s="257">
        <f t="shared" ref="K97:Q97" si="20">K95-K96</f>
        <v>1.5741162798803998E-2</v>
      </c>
      <c r="L97" s="257">
        <f t="shared" si="20"/>
        <v>-7.1283552009845152E-2</v>
      </c>
      <c r="M97" s="257">
        <f t="shared" si="20"/>
        <v>-5.9145573595742462E-2</v>
      </c>
      <c r="N97" s="257">
        <f t="shared" si="20"/>
        <v>5.6016819580690935E-2</v>
      </c>
      <c r="O97" s="257">
        <f t="shared" si="20"/>
        <v>9.1519978377618827E-4</v>
      </c>
      <c r="P97" s="257">
        <f t="shared" si="20"/>
        <v>-0.11494047470478108</v>
      </c>
      <c r="Q97" s="258">
        <f t="shared" si="20"/>
        <v>2.0877568076684838E-2</v>
      </c>
    </row>
    <row r="99" spans="2:17" x14ac:dyDescent="0.2">
      <c r="B99" s="10" t="s">
        <v>88</v>
      </c>
      <c r="C99" s="10"/>
      <c r="D99" s="10"/>
      <c r="E99" s="109">
        <f>NPV(Assumptions!$D$3,J96:Q96)</f>
        <v>126700.0799330163</v>
      </c>
    </row>
    <row r="100" spans="2:17" x14ac:dyDescent="0.2">
      <c r="B100" s="10" t="s">
        <v>106</v>
      </c>
      <c r="C100" s="10"/>
      <c r="D100" s="10"/>
      <c r="E100" s="110">
        <f>NPV(Assumptions!$D$3,J95:Q95)</f>
        <v>126699.98911883407</v>
      </c>
    </row>
    <row r="101" spans="2:17" x14ac:dyDescent="0.2">
      <c r="B101" s="10" t="s">
        <v>90</v>
      </c>
      <c r="C101" s="10"/>
      <c r="D101" s="10"/>
      <c r="E101" s="44">
        <f>E100-E99</f>
        <v>-9.0814182229223661E-2</v>
      </c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</row>
    <row r="103" spans="2:17" s="262" customFormat="1" hidden="1" x14ac:dyDescent="0.2">
      <c r="B103" s="266"/>
      <c r="C103" s="266"/>
      <c r="D103" s="266"/>
      <c r="E103" s="267" t="s">
        <v>12</v>
      </c>
      <c r="F103" s="267" t="s">
        <v>13</v>
      </c>
      <c r="G103" s="267" t="s">
        <v>14</v>
      </c>
      <c r="H103" s="267" t="s">
        <v>15</v>
      </c>
      <c r="I103" s="267" t="s">
        <v>16</v>
      </c>
      <c r="J103" s="267" t="s">
        <v>17</v>
      </c>
      <c r="K103" s="267" t="s">
        <v>18</v>
      </c>
      <c r="L103" s="267" t="s">
        <v>19</v>
      </c>
      <c r="M103" s="267" t="s">
        <v>20</v>
      </c>
      <c r="N103" s="267" t="s">
        <v>21</v>
      </c>
      <c r="O103" s="267" t="s">
        <v>22</v>
      </c>
      <c r="P103" s="267" t="s">
        <v>23</v>
      </c>
      <c r="Q103" s="267" t="s">
        <v>24</v>
      </c>
    </row>
    <row r="104" spans="2:17" s="262" customFormat="1" hidden="1" x14ac:dyDescent="0.2">
      <c r="B104" s="268"/>
      <c r="C104" s="268"/>
      <c r="D104" s="268"/>
      <c r="E104" s="281">
        <f>Assumptions!$D$4*(1-SUM(E75,E94))*E72</f>
        <v>0</v>
      </c>
      <c r="F104" s="281">
        <f>Assumptions!$D$4*(1-SUM(F75,F94))*F72</f>
        <v>0</v>
      </c>
      <c r="G104" s="281">
        <f>Assumptions!$D$4*(1-SUM(G75,G94))*G72</f>
        <v>0</v>
      </c>
      <c r="H104" s="281">
        <f>Assumptions!$D$4*(1-SUM(H75,H94))*H72</f>
        <v>0</v>
      </c>
      <c r="I104" s="281">
        <f>Assumptions!$D$4*(1-SUM(I75,I94))*I72</f>
        <v>0</v>
      </c>
      <c r="J104" s="281">
        <f>Assumptions!$D$4*(1-SUM(J75,J94))*J72</f>
        <v>0</v>
      </c>
      <c r="K104" s="281">
        <f>Assumptions!$D$4*(1-SUM(K75,K94))*K72</f>
        <v>0</v>
      </c>
      <c r="L104" s="281">
        <f>Assumptions!$D$4*(1-SUM(L75,L94))*L72</f>
        <v>0</v>
      </c>
      <c r="M104" s="281">
        <f>Assumptions!$D$4*(1-SUM(M75,M94))*M72</f>
        <v>0</v>
      </c>
      <c r="N104" s="281">
        <f>Assumptions!$D$4*(1-SUM(N75,N94))*N72</f>
        <v>0</v>
      </c>
      <c r="O104" s="281">
        <f>Assumptions!$D$4*(1-SUM(O75,O94))*O72</f>
        <v>0</v>
      </c>
      <c r="P104" s="281">
        <f>Assumptions!$D$4*(1-SUM(P75,P94))*P72</f>
        <v>0</v>
      </c>
      <c r="Q104" s="281">
        <f>Assumptions!$D$4*(1-SUM(Q75,Q94))*Q72</f>
        <v>0</v>
      </c>
    </row>
    <row r="105" spans="2:17" s="262" customFormat="1" hidden="1" x14ac:dyDescent="0.2"/>
    <row r="106" spans="2:17" s="262" customFormat="1" hidden="1" x14ac:dyDescent="0.2">
      <c r="B106" s="266"/>
      <c r="C106" s="266"/>
      <c r="D106" s="266"/>
      <c r="E106" s="267" t="s">
        <v>12</v>
      </c>
      <c r="F106" s="267" t="s">
        <v>13</v>
      </c>
      <c r="G106" s="267" t="s">
        <v>14</v>
      </c>
      <c r="H106" s="267" t="s">
        <v>15</v>
      </c>
      <c r="I106" s="267" t="s">
        <v>16</v>
      </c>
      <c r="J106" s="267" t="s">
        <v>17</v>
      </c>
      <c r="K106" s="267" t="s">
        <v>18</v>
      </c>
      <c r="L106" s="267" t="s">
        <v>19</v>
      </c>
      <c r="M106" s="267" t="s">
        <v>20</v>
      </c>
      <c r="N106" s="267" t="s">
        <v>21</v>
      </c>
      <c r="O106" s="267" t="s">
        <v>22</v>
      </c>
      <c r="P106" s="267" t="s">
        <v>23</v>
      </c>
      <c r="Q106" s="267" t="s">
        <v>24</v>
      </c>
    </row>
    <row r="107" spans="2:17" s="262" customFormat="1" hidden="1" x14ac:dyDescent="0.2">
      <c r="B107" s="268"/>
      <c r="C107" s="268"/>
      <c r="D107" s="268"/>
      <c r="E107" s="281">
        <f>((1/(1-Assumptions!$D$4))-1)*E95</f>
        <v>0</v>
      </c>
      <c r="F107" s="281">
        <f>((1/(1-Assumptions!$D$4))-1)*F95</f>
        <v>0</v>
      </c>
      <c r="G107" s="281">
        <f>((1/(1-Assumptions!$D$4))-1)*G95</f>
        <v>0</v>
      </c>
      <c r="H107" s="281">
        <f>((1/(1-Assumptions!$D$4))-1)*H95</f>
        <v>0</v>
      </c>
      <c r="I107" s="281">
        <f>((1/(1-Assumptions!$D$4))-1)*I95</f>
        <v>0</v>
      </c>
      <c r="J107" s="281">
        <f>((1/(1-Assumptions!$D$4))-1)*J95</f>
        <v>0</v>
      </c>
      <c r="K107" s="281">
        <f>((1/(1-Assumptions!$D$4))-1)*K95</f>
        <v>0</v>
      </c>
      <c r="L107" s="281">
        <f>((1/(1-Assumptions!$D$4))-1)*L95</f>
        <v>0</v>
      </c>
      <c r="M107" s="281">
        <f>((1/(1-Assumptions!$D$4))-1)*M95</f>
        <v>0</v>
      </c>
      <c r="N107" s="281">
        <f>((1/(1-Assumptions!$D$4))-1)*N95</f>
        <v>0</v>
      </c>
      <c r="O107" s="281">
        <f>((1/(1-Assumptions!$D$4))-1)*O95</f>
        <v>0</v>
      </c>
      <c r="P107" s="281">
        <f>((1/(1-Assumptions!$D$4))-1)*P95</f>
        <v>0</v>
      </c>
      <c r="Q107" s="281">
        <f>((1/(1-Assumptions!$D$4))-1)*Q95</f>
        <v>0</v>
      </c>
    </row>
    <row r="108" spans="2:17" s="262" customFormat="1" hidden="1" x14ac:dyDescent="0.2">
      <c r="B108" s="268"/>
      <c r="C108" s="268"/>
      <c r="D108" s="268"/>
      <c r="E108" s="281">
        <f>Baseline!E17</f>
        <v>0</v>
      </c>
      <c r="F108" s="281">
        <f>Baseline!F17</f>
        <v>0</v>
      </c>
      <c r="G108" s="281">
        <f>Baseline!G17</f>
        <v>0</v>
      </c>
      <c r="H108" s="281">
        <f>Baseline!H17</f>
        <v>0</v>
      </c>
      <c r="I108" s="281">
        <f>Baseline!I17</f>
        <v>0</v>
      </c>
      <c r="J108" s="281">
        <f>Baseline!J17</f>
        <v>0</v>
      </c>
      <c r="K108" s="281">
        <f>Baseline!K17</f>
        <v>0</v>
      </c>
      <c r="L108" s="281">
        <f>Baseline!L17</f>
        <v>0</v>
      </c>
      <c r="M108" s="281">
        <f>Baseline!M17</f>
        <v>0</v>
      </c>
      <c r="N108" s="281">
        <f>Baseline!N17</f>
        <v>0</v>
      </c>
      <c r="O108" s="281">
        <f>Baseline!O17</f>
        <v>0</v>
      </c>
      <c r="P108" s="281">
        <f>Baseline!P17</f>
        <v>0</v>
      </c>
      <c r="Q108" s="281">
        <f>Baseline!Q17</f>
        <v>0</v>
      </c>
    </row>
    <row r="109" spans="2:17" s="262" customFormat="1" hidden="1" x14ac:dyDescent="0.2">
      <c r="B109" s="268"/>
      <c r="C109" s="268"/>
      <c r="D109" s="268"/>
      <c r="E109" s="281">
        <f t="shared" ref="E109:I109" si="21">E107-E108</f>
        <v>0</v>
      </c>
      <c r="F109" s="281">
        <f t="shared" si="21"/>
        <v>0</v>
      </c>
      <c r="G109" s="281">
        <f t="shared" si="21"/>
        <v>0</v>
      </c>
      <c r="H109" s="281">
        <f t="shared" si="21"/>
        <v>0</v>
      </c>
      <c r="I109" s="281">
        <f t="shared" si="21"/>
        <v>0</v>
      </c>
      <c r="J109" s="281">
        <f>J107-J108</f>
        <v>0</v>
      </c>
      <c r="K109" s="281">
        <f t="shared" ref="K109:Q109" si="22">K107-K108</f>
        <v>0</v>
      </c>
      <c r="L109" s="281">
        <f t="shared" si="22"/>
        <v>0</v>
      </c>
      <c r="M109" s="281">
        <f t="shared" si="22"/>
        <v>0</v>
      </c>
      <c r="N109" s="281">
        <f t="shared" si="22"/>
        <v>0</v>
      </c>
      <c r="O109" s="281">
        <f t="shared" si="22"/>
        <v>0</v>
      </c>
      <c r="P109" s="281">
        <f t="shared" si="22"/>
        <v>0</v>
      </c>
      <c r="Q109" s="281">
        <f t="shared" si="22"/>
        <v>0</v>
      </c>
    </row>
    <row r="110" spans="2:17" s="262" customFormat="1" hidden="1" x14ac:dyDescent="0.2"/>
    <row r="111" spans="2:17" s="262" customFormat="1" hidden="1" x14ac:dyDescent="0.2">
      <c r="B111" s="268"/>
      <c r="C111" s="268"/>
      <c r="D111" s="268"/>
      <c r="E111" s="281">
        <f>NPV(Assumptions!$D$3,J108:Q108)</f>
        <v>0</v>
      </c>
      <c r="F111" s="281"/>
      <c r="G111" s="281"/>
      <c r="H111" s="281"/>
      <c r="I111" s="281"/>
      <c r="J111" s="281"/>
      <c r="K111" s="281"/>
      <c r="L111" s="281"/>
      <c r="M111" s="281"/>
      <c r="N111" s="281"/>
      <c r="O111" s="281"/>
      <c r="P111" s="281"/>
      <c r="Q111" s="281"/>
    </row>
    <row r="112" spans="2:17" s="262" customFormat="1" hidden="1" x14ac:dyDescent="0.2">
      <c r="B112" s="268"/>
      <c r="C112" s="268"/>
      <c r="D112" s="268"/>
      <c r="E112" s="281">
        <f>NPV(Assumptions!$D$3,J107:Q107)</f>
        <v>0</v>
      </c>
      <c r="F112" s="281"/>
      <c r="G112" s="281"/>
      <c r="H112" s="281"/>
      <c r="I112" s="281"/>
      <c r="J112" s="281"/>
      <c r="K112" s="281"/>
      <c r="L112" s="281"/>
      <c r="M112" s="281"/>
      <c r="N112" s="281"/>
      <c r="O112" s="281"/>
      <c r="P112" s="281"/>
      <c r="Q112" s="281"/>
    </row>
    <row r="113" spans="2:18" s="262" customFormat="1" hidden="1" x14ac:dyDescent="0.2">
      <c r="B113" s="268" t="s">
        <v>90</v>
      </c>
      <c r="C113" s="268"/>
      <c r="D113" s="268"/>
      <c r="E113" s="281">
        <f>E112-E111</f>
        <v>0</v>
      </c>
    </row>
    <row r="114" spans="2:18" hidden="1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2:18" x14ac:dyDescent="0.2">
      <c r="B115" s="11" t="s">
        <v>99</v>
      </c>
      <c r="C115" s="11"/>
      <c r="D115" s="11"/>
      <c r="E115" s="3" t="s">
        <v>12</v>
      </c>
      <c r="F115" s="3" t="s">
        <v>13</v>
      </c>
      <c r="G115" s="3" t="s">
        <v>14</v>
      </c>
      <c r="H115" s="3" t="s">
        <v>15</v>
      </c>
      <c r="I115" s="3" t="s">
        <v>16</v>
      </c>
      <c r="J115" s="3" t="s">
        <v>17</v>
      </c>
      <c r="K115" s="3" t="s">
        <v>18</v>
      </c>
      <c r="L115" s="3" t="s">
        <v>19</v>
      </c>
      <c r="M115" s="3" t="s">
        <v>20</v>
      </c>
      <c r="N115" s="3" t="s">
        <v>21</v>
      </c>
      <c r="O115" s="3" t="s">
        <v>22</v>
      </c>
      <c r="P115" s="3" t="s">
        <v>23</v>
      </c>
      <c r="Q115" s="3" t="s">
        <v>24</v>
      </c>
    </row>
    <row r="116" spans="2:18" x14ac:dyDescent="0.2">
      <c r="B116" s="10" t="s">
        <v>100</v>
      </c>
      <c r="C116" s="10"/>
      <c r="D116" s="10"/>
      <c r="E116" s="45">
        <f>Baseline!E22</f>
        <v>0.16477847304441071</v>
      </c>
      <c r="F116" s="46">
        <f>Baseline!F22</f>
        <v>0.25942006483760055</v>
      </c>
      <c r="G116" s="46">
        <f>Baseline!G22</f>
        <v>0.25729268430270302</v>
      </c>
      <c r="H116" s="46">
        <f>Baseline!H22</f>
        <v>0.25503263968928064</v>
      </c>
      <c r="I116" s="46">
        <f>Baseline!I22</f>
        <v>0.23900231628308241</v>
      </c>
      <c r="J116" s="46">
        <f>Baseline!J22</f>
        <v>0.21976963512340567</v>
      </c>
      <c r="K116" s="46">
        <f>Baseline!K22</f>
        <v>0.21338795915766448</v>
      </c>
      <c r="L116" s="46">
        <f>Baseline!L22</f>
        <v>0.214147690075596</v>
      </c>
      <c r="M116" s="46">
        <f>Baseline!M22</f>
        <v>0.20154913582433245</v>
      </c>
      <c r="N116" s="46">
        <f>Baseline!N22</f>
        <v>0.20176522093212437</v>
      </c>
      <c r="O116" s="46">
        <f>Baseline!O22</f>
        <v>0.20176273796446462</v>
      </c>
      <c r="P116" s="46">
        <f>Baseline!P22</f>
        <v>0.20032051606997162</v>
      </c>
      <c r="Q116" s="47">
        <f>Baseline!Q22</f>
        <v>0.19628286004069254</v>
      </c>
    </row>
    <row r="117" spans="2:18" x14ac:dyDescent="0.2">
      <c r="B117" s="10" t="s">
        <v>101</v>
      </c>
      <c r="C117" s="10"/>
      <c r="D117" s="10"/>
      <c r="E117" s="38">
        <f t="shared" ref="E117:Q117" si="23">E76/(E72-SUM(E85,E107,E104))</f>
        <v>0.16477847304441071</v>
      </c>
      <c r="F117" s="39">
        <f t="shared" si="23"/>
        <v>0.25942006483760055</v>
      </c>
      <c r="G117" s="39">
        <f t="shared" si="23"/>
        <v>0.25729268430270302</v>
      </c>
      <c r="H117" s="39">
        <f t="shared" si="23"/>
        <v>0.25503263968928064</v>
      </c>
      <c r="I117" s="39">
        <f t="shared" si="23"/>
        <v>0.23900231628308241</v>
      </c>
      <c r="J117" s="39">
        <f t="shared" si="23"/>
        <v>0.21976963512340567</v>
      </c>
      <c r="K117" s="39">
        <f t="shared" si="23"/>
        <v>0.21338795915766448</v>
      </c>
      <c r="L117" s="39">
        <f t="shared" si="23"/>
        <v>0.214147690075596</v>
      </c>
      <c r="M117" s="39">
        <f t="shared" si="23"/>
        <v>0.20154913582433245</v>
      </c>
      <c r="N117" s="39">
        <f t="shared" si="23"/>
        <v>0.20176522093212437</v>
      </c>
      <c r="O117" s="39">
        <f t="shared" si="23"/>
        <v>0.20176273796446462</v>
      </c>
      <c r="P117" s="39">
        <f t="shared" si="23"/>
        <v>0.20032051606997162</v>
      </c>
      <c r="Q117" s="40">
        <f t="shared" si="23"/>
        <v>0.19628286004069254</v>
      </c>
    </row>
    <row r="118" spans="2:18" x14ac:dyDescent="0.2">
      <c r="B118" s="10" t="s">
        <v>87</v>
      </c>
      <c r="C118" s="10"/>
      <c r="D118" s="10"/>
      <c r="E118" s="53">
        <f>E117-E116</f>
        <v>0</v>
      </c>
      <c r="F118" s="54">
        <f t="shared" ref="F118:Q118" si="24">F117-F116</f>
        <v>0</v>
      </c>
      <c r="G118" s="54">
        <f t="shared" si="24"/>
        <v>0</v>
      </c>
      <c r="H118" s="54">
        <f t="shared" si="24"/>
        <v>0</v>
      </c>
      <c r="I118" s="54">
        <f t="shared" si="24"/>
        <v>0</v>
      </c>
      <c r="J118" s="54">
        <f t="shared" si="24"/>
        <v>0</v>
      </c>
      <c r="K118" s="54">
        <f t="shared" si="24"/>
        <v>0</v>
      </c>
      <c r="L118" s="54">
        <f t="shared" si="24"/>
        <v>0</v>
      </c>
      <c r="M118" s="54">
        <f t="shared" si="24"/>
        <v>0</v>
      </c>
      <c r="N118" s="54">
        <f t="shared" si="24"/>
        <v>0</v>
      </c>
      <c r="O118" s="54">
        <f t="shared" si="24"/>
        <v>0</v>
      </c>
      <c r="P118" s="54">
        <f t="shared" si="24"/>
        <v>0</v>
      </c>
      <c r="Q118" s="55">
        <f t="shared" si="24"/>
        <v>0</v>
      </c>
    </row>
    <row r="120" spans="2:18" x14ac:dyDescent="0.2">
      <c r="B120" s="11" t="s">
        <v>102</v>
      </c>
      <c r="C120" s="11"/>
      <c r="D120" s="11"/>
      <c r="E120" s="3" t="s">
        <v>12</v>
      </c>
      <c r="F120" s="3" t="s">
        <v>13</v>
      </c>
      <c r="G120" s="3" t="s">
        <v>14</v>
      </c>
      <c r="H120" s="3" t="s">
        <v>15</v>
      </c>
      <c r="I120" s="3" t="s">
        <v>16</v>
      </c>
      <c r="J120" s="3" t="s">
        <v>17</v>
      </c>
      <c r="K120" s="3" t="s">
        <v>18</v>
      </c>
      <c r="L120" s="3" t="s">
        <v>19</v>
      </c>
      <c r="M120" s="3" t="s">
        <v>20</v>
      </c>
      <c r="N120" s="3" t="s">
        <v>21</v>
      </c>
      <c r="O120" s="3" t="s">
        <v>22</v>
      </c>
      <c r="P120" s="3" t="s">
        <v>23</v>
      </c>
      <c r="Q120" s="3" t="s">
        <v>24</v>
      </c>
    </row>
    <row r="121" spans="2:18" x14ac:dyDescent="0.2">
      <c r="B121" s="10" t="s">
        <v>100</v>
      </c>
      <c r="C121" s="10"/>
      <c r="D121" s="10"/>
      <c r="E121" s="45">
        <f>Baseline!E23</f>
        <v>0</v>
      </c>
      <c r="F121" s="46">
        <f>Baseline!F23</f>
        <v>0</v>
      </c>
      <c r="G121" s="46">
        <f>Baseline!G23</f>
        <v>0</v>
      </c>
      <c r="H121" s="46">
        <f>Baseline!H23</f>
        <v>0</v>
      </c>
      <c r="I121" s="46">
        <f>Baseline!I23</f>
        <v>0</v>
      </c>
      <c r="J121" s="46">
        <f>Baseline!J23</f>
        <v>7.33088138557179E-2</v>
      </c>
      <c r="K121" s="46">
        <f>Baseline!K23</f>
        <v>0.12424406333115881</v>
      </c>
      <c r="L121" s="46">
        <f>Baseline!L23</f>
        <v>0.12290987737497053</v>
      </c>
      <c r="M121" s="46">
        <f>Baseline!M23</f>
        <v>0.11643109887944895</v>
      </c>
      <c r="N121" s="46">
        <f>Baseline!N23</f>
        <v>0.11541171638866259</v>
      </c>
      <c r="O121" s="46">
        <f>Baseline!O23</f>
        <v>0.11443097571226979</v>
      </c>
      <c r="P121" s="46">
        <f>Baseline!P23</f>
        <v>0.11886552423393439</v>
      </c>
      <c r="Q121" s="47">
        <f>Baseline!Q23</f>
        <v>0.11155667804596497</v>
      </c>
      <c r="R121" s="30"/>
    </row>
    <row r="122" spans="2:18" x14ac:dyDescent="0.2">
      <c r="B122" s="10" t="s">
        <v>101</v>
      </c>
      <c r="C122" s="10"/>
      <c r="D122" s="10"/>
      <c r="E122" s="38">
        <f t="shared" ref="E122:I122" si="25">E95/(E72-SUM(E85,E107,E104))</f>
        <v>0</v>
      </c>
      <c r="F122" s="39">
        <f t="shared" si="25"/>
        <v>0</v>
      </c>
      <c r="G122" s="39">
        <f t="shared" si="25"/>
        <v>0</v>
      </c>
      <c r="H122" s="39">
        <f t="shared" si="25"/>
        <v>0</v>
      </c>
      <c r="I122" s="39">
        <f t="shared" si="25"/>
        <v>0</v>
      </c>
      <c r="J122" s="39">
        <f t="shared" ref="J122:Q122" si="26">J95/(J72-SUM(J85,J107,J104))</f>
        <v>7.33088138557179E-2</v>
      </c>
      <c r="K122" s="39">
        <f t="shared" si="26"/>
        <v>0.12424406333115881</v>
      </c>
      <c r="L122" s="39">
        <f t="shared" si="26"/>
        <v>0.12290987737497053</v>
      </c>
      <c r="M122" s="39">
        <f t="shared" si="26"/>
        <v>0.11643109887944895</v>
      </c>
      <c r="N122" s="39">
        <f t="shared" si="26"/>
        <v>0.11541171638866259</v>
      </c>
      <c r="O122" s="39">
        <f t="shared" si="26"/>
        <v>0.11443097571226979</v>
      </c>
      <c r="P122" s="39">
        <f t="shared" si="26"/>
        <v>0.11886552423393439</v>
      </c>
      <c r="Q122" s="40">
        <f t="shared" si="26"/>
        <v>0.11155667804596497</v>
      </c>
      <c r="R122" s="30"/>
    </row>
    <row r="123" spans="2:18" x14ac:dyDescent="0.2">
      <c r="B123" s="10" t="s">
        <v>87</v>
      </c>
      <c r="C123" s="10"/>
      <c r="D123" s="10"/>
      <c r="E123" s="53">
        <f t="shared" ref="E123:I123" si="27">E122-E121</f>
        <v>0</v>
      </c>
      <c r="F123" s="54">
        <f t="shared" si="27"/>
        <v>0</v>
      </c>
      <c r="G123" s="54">
        <f t="shared" si="27"/>
        <v>0</v>
      </c>
      <c r="H123" s="54">
        <f t="shared" si="27"/>
        <v>0</v>
      </c>
      <c r="I123" s="54">
        <f t="shared" si="27"/>
        <v>0</v>
      </c>
      <c r="J123" s="54">
        <f>J122-J121</f>
        <v>0</v>
      </c>
      <c r="K123" s="54">
        <f t="shared" ref="K123:Q123" si="28">K122-K121</f>
        <v>0</v>
      </c>
      <c r="L123" s="54">
        <f t="shared" si="28"/>
        <v>0</v>
      </c>
      <c r="M123" s="54">
        <f t="shared" si="28"/>
        <v>0</v>
      </c>
      <c r="N123" s="54">
        <f t="shared" si="28"/>
        <v>0</v>
      </c>
      <c r="O123" s="54">
        <f t="shared" si="28"/>
        <v>0</v>
      </c>
      <c r="P123" s="54">
        <f t="shared" si="28"/>
        <v>0</v>
      </c>
      <c r="Q123" s="55">
        <f t="shared" si="28"/>
        <v>0</v>
      </c>
      <c r="R123" s="30"/>
    </row>
    <row r="124" spans="2:18" x14ac:dyDescent="0.2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2:18" x14ac:dyDescent="0.2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</row>
    <row r="126" spans="2:18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</row>
    <row r="127" spans="2:18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spans="2:18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</row>
    <row r="129" spans="2:18" x14ac:dyDescent="0.2">
      <c r="B129" s="87"/>
      <c r="C129" s="87"/>
      <c r="D129" s="87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30"/>
    </row>
    <row r="130" spans="2:18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</row>
    <row r="131" spans="2:18" x14ac:dyDescent="0.2">
      <c r="B131" s="86"/>
      <c r="C131" s="86"/>
      <c r="D131" s="86"/>
      <c r="E131" s="30"/>
      <c r="F131" s="30"/>
      <c r="G131" s="30"/>
      <c r="H131" s="30"/>
      <c r="I131" s="30"/>
      <c r="J131" s="59"/>
      <c r="K131" s="59"/>
      <c r="L131" s="59"/>
      <c r="M131" s="59"/>
      <c r="N131" s="59"/>
      <c r="O131" s="59"/>
      <c r="P131" s="59"/>
      <c r="Q131" s="59"/>
      <c r="R131" s="3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outlinePr summaryBelow="0"/>
  </sheetPr>
  <dimension ref="A1:S158"/>
  <sheetViews>
    <sheetView showGridLines="0" topLeftCell="A91" zoomScale="115" zoomScaleNormal="115" workbookViewId="0">
      <selection activeCell="G120" sqref="G120"/>
    </sheetView>
  </sheetViews>
  <sheetFormatPr defaultRowHeight="12" outlineLevelRow="1" x14ac:dyDescent="0.2"/>
  <cols>
    <col min="1" max="1" width="1.7109375" style="1" customWidth="1"/>
    <col min="2" max="2" width="30.7109375" style="1" customWidth="1"/>
    <col min="3" max="4" width="1.7109375" style="1" customWidth="1"/>
    <col min="5" max="12" width="10.7109375" style="1" customWidth="1"/>
    <col min="13" max="13" width="10.7109375" style="7" customWidth="1"/>
    <col min="14" max="17" width="10.7109375" style="1" customWidth="1"/>
    <col min="18" max="18" width="1.7109375" style="1" customWidth="1"/>
    <col min="19" max="16384" width="9.140625" style="1"/>
  </cols>
  <sheetData>
    <row r="1" spans="2:19" x14ac:dyDescent="0.2">
      <c r="B1" s="16"/>
      <c r="C1" s="16"/>
      <c r="D1" s="16"/>
    </row>
    <row r="2" spans="2:19" x14ac:dyDescent="0.2">
      <c r="B2" s="11" t="s">
        <v>77</v>
      </c>
      <c r="C2" s="11"/>
      <c r="D2" s="11"/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77" t="s">
        <v>20</v>
      </c>
      <c r="N2" s="3" t="s">
        <v>21</v>
      </c>
      <c r="O2" s="3" t="s">
        <v>22</v>
      </c>
      <c r="P2" s="3" t="s">
        <v>23</v>
      </c>
      <c r="Q2" s="3" t="s">
        <v>24</v>
      </c>
    </row>
    <row r="3" spans="2:19" x14ac:dyDescent="0.2">
      <c r="B3" s="18" t="s">
        <v>32</v>
      </c>
      <c r="C3" s="18"/>
      <c r="D3" s="18"/>
      <c r="E3" s="173">
        <f>Baseline!E47</f>
        <v>17273.25</v>
      </c>
      <c r="F3" s="174">
        <f>Baseline!F47</f>
        <v>18494.001</v>
      </c>
      <c r="G3" s="174">
        <f>Baseline!G47</f>
        <v>19141.291034999995</v>
      </c>
      <c r="H3" s="174">
        <f>Baseline!H47</f>
        <v>19811.236221224997</v>
      </c>
      <c r="I3" s="174">
        <f>Baseline!I47</f>
        <v>20504.629488967868</v>
      </c>
      <c r="J3" s="174">
        <f>Baseline!J47</f>
        <v>24429.124715153932</v>
      </c>
      <c r="K3" s="174">
        <f>Baseline!K47</f>
        <v>26944.385543360168</v>
      </c>
      <c r="L3" s="174">
        <f>Baseline!L47</f>
        <v>27887.439037377771</v>
      </c>
      <c r="M3" s="174">
        <f>Baseline!M47</f>
        <v>28863.499403685993</v>
      </c>
      <c r="N3" s="174">
        <f>Baseline!N47</f>
        <v>29873.721882815</v>
      </c>
      <c r="O3" s="174">
        <f>Baseline!O47</f>
        <v>30919.302148713523</v>
      </c>
      <c r="P3" s="174">
        <f>Baseline!P47</f>
        <v>32001.477723918491</v>
      </c>
      <c r="Q3" s="190">
        <f>Baseline!Q47</f>
        <v>33121.529444255641</v>
      </c>
    </row>
    <row r="4" spans="2:19" x14ac:dyDescent="0.2">
      <c r="B4" s="18" t="s">
        <v>33</v>
      </c>
      <c r="C4" s="18"/>
      <c r="D4" s="18"/>
      <c r="E4" s="155">
        <f>Baseline!E48</f>
        <v>50005</v>
      </c>
      <c r="F4" s="156">
        <f>Baseline!F48</f>
        <v>54268.625</v>
      </c>
      <c r="G4" s="156">
        <f>Baseline!G48</f>
        <v>55625.34062499999</v>
      </c>
      <c r="H4" s="156">
        <f>Baseline!H48</f>
        <v>57015.974140624974</v>
      </c>
      <c r="I4" s="156">
        <f>Baseline!I48</f>
        <v>58441.373494140593</v>
      </c>
      <c r="J4" s="156">
        <f>Baseline!J48</f>
        <v>73213.425456152312</v>
      </c>
      <c r="K4" s="156">
        <f>Baseline!K48</f>
        <v>81868.556858738972</v>
      </c>
      <c r="L4" s="156">
        <f>Baseline!L48</f>
        <v>83915.270780207429</v>
      </c>
      <c r="M4" s="156">
        <f>Baseline!M48</f>
        <v>86013.152549712613</v>
      </c>
      <c r="N4" s="156">
        <f>Baseline!N48</f>
        <v>88163.481363455416</v>
      </c>
      <c r="O4" s="156">
        <f>Baseline!O48</f>
        <v>90367.568397541792</v>
      </c>
      <c r="P4" s="156">
        <f>Baseline!P48</f>
        <v>92626.757607480336</v>
      </c>
      <c r="Q4" s="157">
        <f>Baseline!Q48</f>
        <v>94942.426547667332</v>
      </c>
    </row>
    <row r="5" spans="2:19" x14ac:dyDescent="0.2">
      <c r="B5" s="18" t="s">
        <v>34</v>
      </c>
      <c r="C5" s="18"/>
      <c r="D5" s="18"/>
      <c r="E5" s="155">
        <f>Baseline!E49</f>
        <v>58597.875000000007</v>
      </c>
      <c r="F5" s="156">
        <f>Baseline!F49</f>
        <v>67966.187000000005</v>
      </c>
      <c r="G5" s="156">
        <f>Baseline!G49</f>
        <v>68324.684170000008</v>
      </c>
      <c r="H5" s="156">
        <f>Baseline!H49</f>
        <v>68679.394819075023</v>
      </c>
      <c r="I5" s="156">
        <f>Baseline!I49</f>
        <v>67184.998508445773</v>
      </c>
      <c r="J5" s="156">
        <f>Baseline!J49</f>
        <v>71496.22491434688</v>
      </c>
      <c r="K5" s="156">
        <f>Baseline!K49</f>
        <v>76960.528798950429</v>
      </c>
      <c r="L5" s="156">
        <f>Baseline!L49</f>
        <v>77524.645091207407</v>
      </c>
      <c r="M5" s="156">
        <f>Baseline!M49</f>
        <v>74645.1740233007</v>
      </c>
      <c r="N5" s="156">
        <f>Baseline!N49</f>
        <v>75087.898376864789</v>
      </c>
      <c r="O5" s="156">
        <f>Baseline!O49</f>
        <v>75519.564726872341</v>
      </c>
      <c r="P5" s="156">
        <f>Baseline!P49</f>
        <v>76566.882334300579</v>
      </c>
      <c r="Q5" s="157">
        <f>Baseline!Q49</f>
        <v>73885.522004038517</v>
      </c>
    </row>
    <row r="6" spans="2:19" x14ac:dyDescent="0.2">
      <c r="B6" s="18" t="s">
        <v>35</v>
      </c>
      <c r="C6" s="18"/>
      <c r="D6" s="18"/>
      <c r="E6" s="155">
        <f>Baseline!E50</f>
        <v>58597.875</v>
      </c>
      <c r="F6" s="156">
        <f>Baseline!F50</f>
        <v>67966.187000000005</v>
      </c>
      <c r="G6" s="156">
        <f>Baseline!G50</f>
        <v>68324.684170000008</v>
      </c>
      <c r="H6" s="156">
        <f>Baseline!H50</f>
        <v>68679.394819075023</v>
      </c>
      <c r="I6" s="156">
        <f>Baseline!I50</f>
        <v>67184.998508445773</v>
      </c>
      <c r="J6" s="156">
        <f>Baseline!J50</f>
        <v>71496.22491434688</v>
      </c>
      <c r="K6" s="156">
        <f>Baseline!K50</f>
        <v>76960.528798950429</v>
      </c>
      <c r="L6" s="156">
        <f>Baseline!L50</f>
        <v>77524.645091207407</v>
      </c>
      <c r="M6" s="156">
        <f>Baseline!M50</f>
        <v>74645.1740233007</v>
      </c>
      <c r="N6" s="156">
        <f>Baseline!N50</f>
        <v>75087.898376864789</v>
      </c>
      <c r="O6" s="156">
        <f>Baseline!O50</f>
        <v>75519.564726872355</v>
      </c>
      <c r="P6" s="156">
        <f>Baseline!P50</f>
        <v>76566.882334300579</v>
      </c>
      <c r="Q6" s="157">
        <f>Baseline!Q50</f>
        <v>73885.522004038517</v>
      </c>
    </row>
    <row r="7" spans="2:19" x14ac:dyDescent="0.2">
      <c r="B7" s="11" t="s">
        <v>81</v>
      </c>
      <c r="C7" s="11"/>
      <c r="D7" s="11"/>
      <c r="E7" s="31">
        <f>SUM(E3:E6)</f>
        <v>184474</v>
      </c>
      <c r="F7" s="32">
        <f t="shared" ref="F7:Q7" si="0">SUM(F3:F6)</f>
        <v>208695.00000000003</v>
      </c>
      <c r="G7" s="32">
        <f t="shared" si="0"/>
        <v>211416</v>
      </c>
      <c r="H7" s="32">
        <f t="shared" si="0"/>
        <v>214186</v>
      </c>
      <c r="I7" s="32">
        <f t="shared" si="0"/>
        <v>213316</v>
      </c>
      <c r="J7" s="32">
        <f t="shared" si="0"/>
        <v>240635</v>
      </c>
      <c r="K7" s="32">
        <f t="shared" si="0"/>
        <v>262734</v>
      </c>
      <c r="L7" s="32">
        <f t="shared" si="0"/>
        <v>266852</v>
      </c>
      <c r="M7" s="91">
        <f t="shared" si="0"/>
        <v>264167</v>
      </c>
      <c r="N7" s="32">
        <f t="shared" si="0"/>
        <v>268213</v>
      </c>
      <c r="O7" s="32">
        <f t="shared" si="0"/>
        <v>272326</v>
      </c>
      <c r="P7" s="32">
        <f t="shared" si="0"/>
        <v>277762</v>
      </c>
      <c r="Q7" s="33">
        <f t="shared" si="0"/>
        <v>275835</v>
      </c>
    </row>
    <row r="9" spans="2:19" x14ac:dyDescent="0.2">
      <c r="B9" s="76" t="s">
        <v>92</v>
      </c>
      <c r="C9" s="76"/>
      <c r="D9" s="76"/>
      <c r="E9" s="77" t="s">
        <v>12</v>
      </c>
      <c r="F9" s="77" t="s">
        <v>13</v>
      </c>
      <c r="G9" s="77" t="s">
        <v>14</v>
      </c>
      <c r="H9" s="77" t="s">
        <v>15</v>
      </c>
      <c r="I9" s="77" t="s">
        <v>16</v>
      </c>
      <c r="J9" s="77" t="s">
        <v>17</v>
      </c>
      <c r="K9" s="77" t="s">
        <v>18</v>
      </c>
      <c r="L9" s="77" t="s">
        <v>19</v>
      </c>
      <c r="M9" s="77" t="s">
        <v>20</v>
      </c>
      <c r="N9" s="77" t="s">
        <v>21</v>
      </c>
      <c r="O9" s="77" t="s">
        <v>22</v>
      </c>
      <c r="P9" s="77" t="s">
        <v>23</v>
      </c>
      <c r="Q9" s="77" t="s">
        <v>24</v>
      </c>
      <c r="S9" s="167"/>
    </row>
    <row r="10" spans="2:19" outlineLevel="1" x14ac:dyDescent="0.2">
      <c r="B10" s="78" t="s">
        <v>48</v>
      </c>
      <c r="C10" s="78"/>
      <c r="D10" s="78"/>
      <c r="E10" s="173">
        <f>Assumptions!E23</f>
        <v>28588950</v>
      </c>
      <c r="F10" s="173">
        <f>Assumptions!F23</f>
        <v>28588950</v>
      </c>
      <c r="G10" s="173">
        <f>Assumptions!G23</f>
        <v>28588950</v>
      </c>
      <c r="H10" s="173">
        <f>Assumptions!H23</f>
        <v>28588950</v>
      </c>
      <c r="I10" s="173">
        <f>Assumptions!I23</f>
        <v>28588950</v>
      </c>
      <c r="J10" s="173">
        <f>Assumptions!J23</f>
        <v>28588950</v>
      </c>
      <c r="K10" s="173">
        <f>Assumptions!K23</f>
        <v>28588950</v>
      </c>
      <c r="L10" s="173">
        <f>Assumptions!L23</f>
        <v>28588950</v>
      </c>
      <c r="M10" s="173">
        <f>Assumptions!M23</f>
        <v>28588950</v>
      </c>
      <c r="N10" s="173">
        <f>Assumptions!N23</f>
        <v>28588950</v>
      </c>
      <c r="O10" s="173">
        <f>Assumptions!O23</f>
        <v>28588950</v>
      </c>
      <c r="P10" s="173">
        <f>Assumptions!P23</f>
        <v>28588950</v>
      </c>
      <c r="Q10" s="191">
        <f>Assumptions!Q23</f>
        <v>28588950</v>
      </c>
    </row>
    <row r="11" spans="2:19" outlineLevel="1" x14ac:dyDescent="0.2">
      <c r="B11" s="78" t="s">
        <v>49</v>
      </c>
      <c r="C11" s="78"/>
      <c r="D11" s="78"/>
      <c r="E11" s="155">
        <f>Assumptions!E24</f>
        <v>14118</v>
      </c>
      <c r="F11" s="155">
        <f>Assumptions!F24</f>
        <v>14118</v>
      </c>
      <c r="G11" s="155">
        <f>Assumptions!G24</f>
        <v>14118</v>
      </c>
      <c r="H11" s="155">
        <f>Assumptions!H24</f>
        <v>14118</v>
      </c>
      <c r="I11" s="155">
        <f>Assumptions!I24</f>
        <v>14118</v>
      </c>
      <c r="J11" s="155">
        <f>Assumptions!J24</f>
        <v>14118</v>
      </c>
      <c r="K11" s="155">
        <f>Assumptions!K24</f>
        <v>14118</v>
      </c>
      <c r="L11" s="155">
        <f>Assumptions!L24</f>
        <v>14118</v>
      </c>
      <c r="M11" s="155">
        <f>Assumptions!M24</f>
        <v>14118</v>
      </c>
      <c r="N11" s="155">
        <f>Assumptions!N24</f>
        <v>14118</v>
      </c>
      <c r="O11" s="155">
        <f>Assumptions!O24</f>
        <v>14118</v>
      </c>
      <c r="P11" s="155">
        <f>Assumptions!P24</f>
        <v>14118</v>
      </c>
      <c r="Q11" s="192">
        <f>Assumptions!Q24</f>
        <v>14118</v>
      </c>
    </row>
    <row r="12" spans="2:19" outlineLevel="1" x14ac:dyDescent="0.2">
      <c r="B12" s="78" t="s">
        <v>50</v>
      </c>
      <c r="C12" s="78"/>
      <c r="D12" s="78"/>
      <c r="E12" s="155">
        <f>Assumptions!E25</f>
        <v>18000000</v>
      </c>
      <c r="F12" s="155">
        <f>Assumptions!F25</f>
        <v>18000000</v>
      </c>
      <c r="G12" s="155">
        <f>Assumptions!G25</f>
        <v>18000000</v>
      </c>
      <c r="H12" s="155">
        <f>Assumptions!H25</f>
        <v>18000000</v>
      </c>
      <c r="I12" s="155">
        <f>Assumptions!I25</f>
        <v>18000000</v>
      </c>
      <c r="J12" s="155">
        <f>Assumptions!J25</f>
        <v>18000000</v>
      </c>
      <c r="K12" s="155">
        <f>Assumptions!K25</f>
        <v>18000000</v>
      </c>
      <c r="L12" s="155">
        <f>Assumptions!L25</f>
        <v>18000000</v>
      </c>
      <c r="M12" s="155">
        <f>Assumptions!M25</f>
        <v>18000000</v>
      </c>
      <c r="N12" s="155">
        <f>Assumptions!N25</f>
        <v>18000000</v>
      </c>
      <c r="O12" s="155">
        <f>Assumptions!O25</f>
        <v>18000000</v>
      </c>
      <c r="P12" s="155">
        <f>Assumptions!P25</f>
        <v>18000000</v>
      </c>
      <c r="Q12" s="192">
        <f>Assumptions!Q25</f>
        <v>18000000</v>
      </c>
    </row>
    <row r="13" spans="2:19" outlineLevel="1" x14ac:dyDescent="0.2">
      <c r="B13" s="78" t="s">
        <v>51</v>
      </c>
      <c r="C13" s="78"/>
      <c r="D13" s="78"/>
      <c r="E13" s="124">
        <f>Assumptions!E26</f>
        <v>60000000</v>
      </c>
      <c r="F13" s="124">
        <f>Assumptions!F26</f>
        <v>60000000</v>
      </c>
      <c r="G13" s="124">
        <f>Assumptions!G26</f>
        <v>60000000</v>
      </c>
      <c r="H13" s="124">
        <f>Assumptions!H26</f>
        <v>60000000</v>
      </c>
      <c r="I13" s="124">
        <f>Assumptions!I26</f>
        <v>60000000</v>
      </c>
      <c r="J13" s="124">
        <f>Assumptions!J26</f>
        <v>60000000</v>
      </c>
      <c r="K13" s="124">
        <f>Assumptions!K26</f>
        <v>60000000</v>
      </c>
      <c r="L13" s="124">
        <f>Assumptions!L26</f>
        <v>60000000</v>
      </c>
      <c r="M13" s="124">
        <f>Assumptions!M26</f>
        <v>60000000</v>
      </c>
      <c r="N13" s="124">
        <f>Assumptions!N26</f>
        <v>60000000</v>
      </c>
      <c r="O13" s="124">
        <f>Assumptions!O26</f>
        <v>60000000</v>
      </c>
      <c r="P13" s="124">
        <f>Assumptions!P26</f>
        <v>60000000</v>
      </c>
      <c r="Q13" s="193">
        <f>Assumptions!Q26</f>
        <v>60000000</v>
      </c>
    </row>
    <row r="14" spans="2:19" outlineLevel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N14" s="7"/>
      <c r="O14" s="7"/>
      <c r="P14" s="7"/>
      <c r="Q14" s="7"/>
    </row>
    <row r="15" spans="2:19" outlineLevel="1" x14ac:dyDescent="0.2">
      <c r="B15" s="78" t="s">
        <v>52</v>
      </c>
      <c r="C15" s="78"/>
      <c r="D15" s="78"/>
      <c r="E15" s="173">
        <f>Assumptions!E29</f>
        <v>5957550</v>
      </c>
      <c r="F15" s="173">
        <f>Assumptions!F29</f>
        <v>7148250</v>
      </c>
      <c r="G15" s="173">
        <f>Assumptions!G29</f>
        <v>7148250</v>
      </c>
      <c r="H15" s="173">
        <f>Assumptions!H29</f>
        <v>7148250</v>
      </c>
      <c r="I15" s="173">
        <f>Assumptions!I29</f>
        <v>7148250</v>
      </c>
      <c r="J15" s="173">
        <f>Assumptions!J29</f>
        <v>7148250</v>
      </c>
      <c r="K15" s="173">
        <f>Assumptions!K29</f>
        <v>7148250</v>
      </c>
      <c r="L15" s="173">
        <f>Assumptions!L29</f>
        <v>7148250</v>
      </c>
      <c r="M15" s="173">
        <f>Assumptions!M29</f>
        <v>7148250</v>
      </c>
      <c r="N15" s="173">
        <f>Assumptions!N29</f>
        <v>7148250</v>
      </c>
      <c r="O15" s="173">
        <f>Assumptions!O29</f>
        <v>7148250</v>
      </c>
      <c r="P15" s="173">
        <f>Assumptions!P29</f>
        <v>7148250</v>
      </c>
      <c r="Q15" s="191">
        <f>Assumptions!Q29</f>
        <v>7148250</v>
      </c>
    </row>
    <row r="16" spans="2:19" outlineLevel="1" x14ac:dyDescent="0.2">
      <c r="B16" s="78" t="s">
        <v>53</v>
      </c>
      <c r="C16" s="78"/>
      <c r="D16" s="78"/>
      <c r="E16" s="155">
        <f>Assumptions!E30</f>
        <v>5884</v>
      </c>
      <c r="F16" s="155">
        <f>Assumptions!F30</f>
        <v>7060</v>
      </c>
      <c r="G16" s="155">
        <f>Assumptions!G30</f>
        <v>7060</v>
      </c>
      <c r="H16" s="155">
        <f>Assumptions!H30</f>
        <v>7060</v>
      </c>
      <c r="I16" s="155">
        <f>Assumptions!I30</f>
        <v>7060</v>
      </c>
      <c r="J16" s="155">
        <f>Assumptions!J30</f>
        <v>7060</v>
      </c>
      <c r="K16" s="155">
        <f>Assumptions!K30</f>
        <v>7060</v>
      </c>
      <c r="L16" s="155">
        <f>Assumptions!L30</f>
        <v>7060</v>
      </c>
      <c r="M16" s="155">
        <f>Assumptions!M30</f>
        <v>7060</v>
      </c>
      <c r="N16" s="155">
        <f>Assumptions!N30</f>
        <v>7060</v>
      </c>
      <c r="O16" s="155">
        <f>Assumptions!O30</f>
        <v>7060</v>
      </c>
      <c r="P16" s="155">
        <f>Assumptions!P30</f>
        <v>7060</v>
      </c>
      <c r="Q16" s="192">
        <f>Assumptions!Q30</f>
        <v>7060</v>
      </c>
    </row>
    <row r="17" spans="2:17" outlineLevel="1" x14ac:dyDescent="0.2">
      <c r="B17" s="78" t="s">
        <v>54</v>
      </c>
      <c r="C17" s="78"/>
      <c r="D17" s="78"/>
      <c r="E17" s="155">
        <f>Assumptions!E31</f>
        <v>3750000</v>
      </c>
      <c r="F17" s="155">
        <f>Assumptions!F31</f>
        <v>4500000</v>
      </c>
      <c r="G17" s="155">
        <f>Assumptions!G31</f>
        <v>4500000</v>
      </c>
      <c r="H17" s="155">
        <f>Assumptions!H31</f>
        <v>4500000</v>
      </c>
      <c r="I17" s="155">
        <f>Assumptions!I31</f>
        <v>4500000</v>
      </c>
      <c r="J17" s="155">
        <f>Assumptions!J31</f>
        <v>4500000</v>
      </c>
      <c r="K17" s="155">
        <f>Assumptions!K31</f>
        <v>4500000</v>
      </c>
      <c r="L17" s="155">
        <f>Assumptions!L31</f>
        <v>4500000</v>
      </c>
      <c r="M17" s="155">
        <f>Assumptions!M31</f>
        <v>4500000</v>
      </c>
      <c r="N17" s="155">
        <f>Assumptions!N31</f>
        <v>4500000</v>
      </c>
      <c r="O17" s="155">
        <f>Assumptions!O31</f>
        <v>4500000</v>
      </c>
      <c r="P17" s="155">
        <f>Assumptions!P31</f>
        <v>4500000</v>
      </c>
      <c r="Q17" s="192">
        <f>Assumptions!Q31</f>
        <v>4500000</v>
      </c>
    </row>
    <row r="18" spans="2:17" outlineLevel="1" x14ac:dyDescent="0.2">
      <c r="B18" s="78" t="s">
        <v>55</v>
      </c>
      <c r="C18" s="78"/>
      <c r="D18" s="78"/>
      <c r="E18" s="124">
        <f>Assumptions!E32</f>
        <v>25000000</v>
      </c>
      <c r="F18" s="124">
        <f>Assumptions!F32</f>
        <v>30000000</v>
      </c>
      <c r="G18" s="124">
        <f>Assumptions!G32</f>
        <v>30000000</v>
      </c>
      <c r="H18" s="124">
        <f>Assumptions!H32</f>
        <v>30000000</v>
      </c>
      <c r="I18" s="124">
        <f>Assumptions!I32</f>
        <v>30000000</v>
      </c>
      <c r="J18" s="124">
        <f>Assumptions!J32</f>
        <v>30000000</v>
      </c>
      <c r="K18" s="124">
        <f>Assumptions!K32</f>
        <v>30000000</v>
      </c>
      <c r="L18" s="124">
        <f>Assumptions!L32</f>
        <v>30000000</v>
      </c>
      <c r="M18" s="124">
        <f>Assumptions!M32</f>
        <v>30000000</v>
      </c>
      <c r="N18" s="124">
        <f>Assumptions!N32</f>
        <v>30000000</v>
      </c>
      <c r="O18" s="124">
        <f>Assumptions!O32</f>
        <v>30000000</v>
      </c>
      <c r="P18" s="124">
        <f>Assumptions!P32</f>
        <v>30000000</v>
      </c>
      <c r="Q18" s="193">
        <f>Assumptions!Q32</f>
        <v>30000000</v>
      </c>
    </row>
    <row r="19" spans="2:17" outlineLevel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N19" s="7"/>
      <c r="O19" s="7"/>
      <c r="P19" s="7"/>
      <c r="Q19" s="7"/>
    </row>
    <row r="20" spans="2:17" outlineLevel="1" x14ac:dyDescent="0.2">
      <c r="B20" s="78" t="s">
        <v>56</v>
      </c>
      <c r="C20" s="78"/>
      <c r="D20" s="78"/>
      <c r="E20" s="173">
        <f>Assumptions!E35</f>
        <v>0</v>
      </c>
      <c r="F20" s="174">
        <f>Assumptions!F35</f>
        <v>0</v>
      </c>
      <c r="G20" s="174">
        <f>Assumptions!G35</f>
        <v>0</v>
      </c>
      <c r="H20" s="174">
        <f>Assumptions!H35</f>
        <v>0</v>
      </c>
      <c r="I20" s="174">
        <f>Assumptions!I35</f>
        <v>0</v>
      </c>
      <c r="J20" s="174">
        <f>Assumptions!J35</f>
        <v>5400135</v>
      </c>
      <c r="K20" s="174">
        <f>Assumptions!K35</f>
        <v>8101350</v>
      </c>
      <c r="L20" s="174">
        <f>Assumptions!L35</f>
        <v>8101350</v>
      </c>
      <c r="M20" s="174">
        <f>Assumptions!M35</f>
        <v>8101350</v>
      </c>
      <c r="N20" s="174">
        <f>Assumptions!N35</f>
        <v>8101350</v>
      </c>
      <c r="O20" s="174">
        <f>Assumptions!O35</f>
        <v>8101350</v>
      </c>
      <c r="P20" s="174">
        <f>Assumptions!P35</f>
        <v>8101350</v>
      </c>
      <c r="Q20" s="190">
        <f>Assumptions!Q35</f>
        <v>8101350</v>
      </c>
    </row>
    <row r="21" spans="2:17" outlineLevel="1" x14ac:dyDescent="0.2">
      <c r="B21" s="78" t="s">
        <v>57</v>
      </c>
      <c r="C21" s="78"/>
      <c r="D21" s="78"/>
      <c r="E21" s="155">
        <f>Assumptions!E36</f>
        <v>0</v>
      </c>
      <c r="F21" s="156">
        <f>Assumptions!F36</f>
        <v>0</v>
      </c>
      <c r="G21" s="156">
        <f>Assumptions!G36</f>
        <v>0</v>
      </c>
      <c r="H21" s="156">
        <f>Assumptions!H36</f>
        <v>0</v>
      </c>
      <c r="I21" s="156">
        <f>Assumptions!I36</f>
        <v>0</v>
      </c>
      <c r="J21" s="156">
        <f>Assumptions!J36</f>
        <v>4706</v>
      </c>
      <c r="K21" s="156">
        <f>Assumptions!K36</f>
        <v>7060</v>
      </c>
      <c r="L21" s="156">
        <f>Assumptions!L36</f>
        <v>7060</v>
      </c>
      <c r="M21" s="156">
        <f>Assumptions!M36</f>
        <v>7060</v>
      </c>
      <c r="N21" s="156">
        <f>Assumptions!N36</f>
        <v>7060</v>
      </c>
      <c r="O21" s="156">
        <f>Assumptions!O36</f>
        <v>7060</v>
      </c>
      <c r="P21" s="156">
        <f>Assumptions!P36</f>
        <v>7060</v>
      </c>
      <c r="Q21" s="157">
        <f>Assumptions!Q36</f>
        <v>7060</v>
      </c>
    </row>
    <row r="22" spans="2:17" outlineLevel="1" x14ac:dyDescent="0.2">
      <c r="B22" s="78" t="s">
        <v>58</v>
      </c>
      <c r="C22" s="78"/>
      <c r="D22" s="78"/>
      <c r="E22" s="155">
        <f>Assumptions!E37</f>
        <v>0</v>
      </c>
      <c r="F22" s="156">
        <f>Assumptions!F37</f>
        <v>0</v>
      </c>
      <c r="G22" s="156">
        <f>Assumptions!G37</f>
        <v>0</v>
      </c>
      <c r="H22" s="156">
        <f>Assumptions!H37</f>
        <v>0</v>
      </c>
      <c r="I22" s="156">
        <f>Assumptions!I37</f>
        <v>0</v>
      </c>
      <c r="J22" s="156">
        <f>Assumptions!J37</f>
        <v>3400000</v>
      </c>
      <c r="K22" s="156">
        <f>Assumptions!K37</f>
        <v>5100000</v>
      </c>
      <c r="L22" s="156">
        <f>Assumptions!L37</f>
        <v>5100000</v>
      </c>
      <c r="M22" s="156">
        <f>Assumptions!M37</f>
        <v>5100000</v>
      </c>
      <c r="N22" s="156">
        <f>Assumptions!N37</f>
        <v>5100000</v>
      </c>
      <c r="O22" s="156">
        <f>Assumptions!O37</f>
        <v>5100000</v>
      </c>
      <c r="P22" s="156">
        <f>Assumptions!P37</f>
        <v>5100000</v>
      </c>
      <c r="Q22" s="157">
        <f>Assumptions!Q37</f>
        <v>5100000</v>
      </c>
    </row>
    <row r="23" spans="2:17" outlineLevel="1" x14ac:dyDescent="0.2">
      <c r="B23" s="78" t="s">
        <v>59</v>
      </c>
      <c r="C23" s="78"/>
      <c r="D23" s="78"/>
      <c r="E23" s="124">
        <f>Assumptions!E38</f>
        <v>0</v>
      </c>
      <c r="F23" s="125">
        <f>Assumptions!F38</f>
        <v>0</v>
      </c>
      <c r="G23" s="125">
        <f>Assumptions!G38</f>
        <v>0</v>
      </c>
      <c r="H23" s="125">
        <f>Assumptions!H38</f>
        <v>0</v>
      </c>
      <c r="I23" s="125">
        <f>Assumptions!I38</f>
        <v>0</v>
      </c>
      <c r="J23" s="125">
        <f>Assumptions!J38</f>
        <v>20000000</v>
      </c>
      <c r="K23" s="125">
        <f>Assumptions!K38</f>
        <v>30000000</v>
      </c>
      <c r="L23" s="125">
        <f>Assumptions!L38</f>
        <v>30000000</v>
      </c>
      <c r="M23" s="125">
        <f>Assumptions!M38</f>
        <v>30000000</v>
      </c>
      <c r="N23" s="125">
        <f>Assumptions!N38</f>
        <v>30000000</v>
      </c>
      <c r="O23" s="125">
        <f>Assumptions!O38</f>
        <v>30000000</v>
      </c>
      <c r="P23" s="125">
        <f>Assumptions!P38</f>
        <v>30000000</v>
      </c>
      <c r="Q23" s="126">
        <f>Assumptions!Q38</f>
        <v>30000000</v>
      </c>
    </row>
    <row r="24" spans="2:17" outlineLevel="1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N24" s="7"/>
      <c r="O24" s="7"/>
      <c r="P24" s="7"/>
      <c r="Q24" s="7"/>
    </row>
    <row r="25" spans="2:17" x14ac:dyDescent="0.2">
      <c r="B25" s="78" t="s">
        <v>60</v>
      </c>
      <c r="C25" s="78"/>
      <c r="D25" s="78"/>
      <c r="E25" s="181">
        <f t="shared" ref="E25:Q28" si="1">SUM(E10,E15,E20)</f>
        <v>34546500</v>
      </c>
      <c r="F25" s="182">
        <f t="shared" si="1"/>
        <v>35737200</v>
      </c>
      <c r="G25" s="182">
        <f t="shared" si="1"/>
        <v>35737200</v>
      </c>
      <c r="H25" s="182">
        <f t="shared" si="1"/>
        <v>35737200</v>
      </c>
      <c r="I25" s="182">
        <f t="shared" si="1"/>
        <v>35737200</v>
      </c>
      <c r="J25" s="182">
        <f t="shared" si="1"/>
        <v>41137335</v>
      </c>
      <c r="K25" s="182">
        <f t="shared" si="1"/>
        <v>43838550</v>
      </c>
      <c r="L25" s="182">
        <f t="shared" si="1"/>
        <v>43838550</v>
      </c>
      <c r="M25" s="182">
        <f t="shared" si="1"/>
        <v>43838550</v>
      </c>
      <c r="N25" s="182">
        <f t="shared" si="1"/>
        <v>43838550</v>
      </c>
      <c r="O25" s="182">
        <f t="shared" si="1"/>
        <v>43838550</v>
      </c>
      <c r="P25" s="182">
        <f t="shared" si="1"/>
        <v>43838550</v>
      </c>
      <c r="Q25" s="183">
        <f t="shared" si="1"/>
        <v>43838550</v>
      </c>
    </row>
    <row r="26" spans="2:17" x14ac:dyDescent="0.2">
      <c r="B26" s="78" t="s">
        <v>61</v>
      </c>
      <c r="C26" s="78"/>
      <c r="D26" s="78"/>
      <c r="E26" s="184">
        <f t="shared" si="1"/>
        <v>20002</v>
      </c>
      <c r="F26" s="185">
        <f t="shared" si="1"/>
        <v>21178</v>
      </c>
      <c r="G26" s="185">
        <f t="shared" si="1"/>
        <v>21178</v>
      </c>
      <c r="H26" s="185">
        <f t="shared" si="1"/>
        <v>21178</v>
      </c>
      <c r="I26" s="185">
        <f t="shared" si="1"/>
        <v>21178</v>
      </c>
      <c r="J26" s="185">
        <f t="shared" si="1"/>
        <v>25884</v>
      </c>
      <c r="K26" s="185">
        <f t="shared" si="1"/>
        <v>28238</v>
      </c>
      <c r="L26" s="185">
        <f t="shared" si="1"/>
        <v>28238</v>
      </c>
      <c r="M26" s="185">
        <f t="shared" si="1"/>
        <v>28238</v>
      </c>
      <c r="N26" s="185">
        <f t="shared" si="1"/>
        <v>28238</v>
      </c>
      <c r="O26" s="185">
        <f t="shared" si="1"/>
        <v>28238</v>
      </c>
      <c r="P26" s="185">
        <f t="shared" si="1"/>
        <v>28238</v>
      </c>
      <c r="Q26" s="186">
        <f t="shared" si="1"/>
        <v>28238</v>
      </c>
    </row>
    <row r="27" spans="2:17" x14ac:dyDescent="0.2">
      <c r="B27" s="78" t="s">
        <v>62</v>
      </c>
      <c r="C27" s="78"/>
      <c r="D27" s="78"/>
      <c r="E27" s="184">
        <f t="shared" si="1"/>
        <v>21750000</v>
      </c>
      <c r="F27" s="185">
        <f t="shared" si="1"/>
        <v>22500000</v>
      </c>
      <c r="G27" s="185">
        <f t="shared" si="1"/>
        <v>22500000</v>
      </c>
      <c r="H27" s="185">
        <f t="shared" si="1"/>
        <v>22500000</v>
      </c>
      <c r="I27" s="185">
        <f t="shared" si="1"/>
        <v>22500000</v>
      </c>
      <c r="J27" s="185">
        <f t="shared" si="1"/>
        <v>25900000</v>
      </c>
      <c r="K27" s="185">
        <f t="shared" si="1"/>
        <v>27600000</v>
      </c>
      <c r="L27" s="185">
        <f t="shared" si="1"/>
        <v>27600000</v>
      </c>
      <c r="M27" s="185">
        <f t="shared" si="1"/>
        <v>27600000</v>
      </c>
      <c r="N27" s="185">
        <f t="shared" si="1"/>
        <v>27600000</v>
      </c>
      <c r="O27" s="185">
        <f t="shared" si="1"/>
        <v>27600000</v>
      </c>
      <c r="P27" s="185">
        <f t="shared" si="1"/>
        <v>27600000</v>
      </c>
      <c r="Q27" s="186">
        <f t="shared" si="1"/>
        <v>27600000</v>
      </c>
    </row>
    <row r="28" spans="2:17" x14ac:dyDescent="0.2">
      <c r="B28" s="78" t="s">
        <v>63</v>
      </c>
      <c r="C28" s="78"/>
      <c r="D28" s="78"/>
      <c r="E28" s="187">
        <f t="shared" si="1"/>
        <v>85000000</v>
      </c>
      <c r="F28" s="188">
        <f t="shared" si="1"/>
        <v>90000000</v>
      </c>
      <c r="G28" s="188">
        <f t="shared" si="1"/>
        <v>90000000</v>
      </c>
      <c r="H28" s="188">
        <f t="shared" si="1"/>
        <v>90000000</v>
      </c>
      <c r="I28" s="188">
        <f t="shared" si="1"/>
        <v>90000000</v>
      </c>
      <c r="J28" s="188">
        <f t="shared" si="1"/>
        <v>110000000</v>
      </c>
      <c r="K28" s="188">
        <f t="shared" si="1"/>
        <v>120000000</v>
      </c>
      <c r="L28" s="188">
        <f t="shared" si="1"/>
        <v>120000000</v>
      </c>
      <c r="M28" s="188">
        <f t="shared" si="1"/>
        <v>120000000</v>
      </c>
      <c r="N28" s="188">
        <f t="shared" si="1"/>
        <v>120000000</v>
      </c>
      <c r="O28" s="188">
        <f t="shared" si="1"/>
        <v>120000000</v>
      </c>
      <c r="P28" s="188">
        <f t="shared" si="1"/>
        <v>120000000</v>
      </c>
      <c r="Q28" s="189">
        <f t="shared" si="1"/>
        <v>120000000</v>
      </c>
    </row>
    <row r="29" spans="2:17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N29" s="7"/>
      <c r="O29" s="7"/>
      <c r="P29" s="7"/>
      <c r="Q29" s="7"/>
    </row>
    <row r="30" spans="2:17" x14ac:dyDescent="0.2">
      <c r="B30" s="11" t="s">
        <v>79</v>
      </c>
      <c r="C30" s="11"/>
      <c r="D30" s="11"/>
      <c r="E30" s="3" t="s">
        <v>12</v>
      </c>
      <c r="F30" s="3" t="s">
        <v>13</v>
      </c>
      <c r="G30" s="3" t="s">
        <v>14</v>
      </c>
      <c r="H30" s="3" t="s">
        <v>15</v>
      </c>
      <c r="I30" s="3" t="s">
        <v>16</v>
      </c>
      <c r="J30" s="3" t="s">
        <v>17</v>
      </c>
      <c r="K30" s="3" t="s">
        <v>18</v>
      </c>
      <c r="L30" s="3" t="s">
        <v>19</v>
      </c>
      <c r="M30" s="77" t="s">
        <v>20</v>
      </c>
      <c r="N30" s="3" t="s">
        <v>21</v>
      </c>
      <c r="O30" s="3" t="s">
        <v>22</v>
      </c>
      <c r="P30" s="3" t="s">
        <v>23</v>
      </c>
      <c r="Q30" s="3" t="s">
        <v>24</v>
      </c>
    </row>
    <row r="31" spans="2:17" x14ac:dyDescent="0.2">
      <c r="B31" s="18" t="s">
        <v>32</v>
      </c>
      <c r="C31" s="18"/>
      <c r="D31" s="18"/>
      <c r="E31" s="152">
        <f>Baseline!E39</f>
        <v>0.5</v>
      </c>
      <c r="F31" s="153">
        <f>Baseline!F39</f>
        <v>0.51749999999999996</v>
      </c>
      <c r="G31" s="153">
        <f>Baseline!G39</f>
        <v>0.53561249999999994</v>
      </c>
      <c r="H31" s="153">
        <f>Baseline!H39</f>
        <v>0.55435893749999987</v>
      </c>
      <c r="I31" s="153">
        <f>Baseline!I39</f>
        <v>0.57376150031249984</v>
      </c>
      <c r="J31" s="153">
        <f>Baseline!J39</f>
        <v>0.59384315282343725</v>
      </c>
      <c r="K31" s="153">
        <f>Baseline!K39</f>
        <v>0.61462766317225748</v>
      </c>
      <c r="L31" s="153">
        <f>Baseline!L39</f>
        <v>0.63613963138328644</v>
      </c>
      <c r="M31" s="153">
        <f>Baseline!M39</f>
        <v>0.65840451848170145</v>
      </c>
      <c r="N31" s="153">
        <f>Baseline!N39</f>
        <v>0.6814486766285609</v>
      </c>
      <c r="O31" s="153">
        <f>Baseline!O39</f>
        <v>0.7052993803105605</v>
      </c>
      <c r="P31" s="153">
        <f>Baseline!P39</f>
        <v>0.72998485862143003</v>
      </c>
      <c r="Q31" s="154">
        <f>Baseline!Q39</f>
        <v>0.75553432867318004</v>
      </c>
    </row>
    <row r="32" spans="2:17" x14ac:dyDescent="0.2">
      <c r="B32" s="18" t="s">
        <v>33</v>
      </c>
      <c r="C32" s="18"/>
      <c r="D32" s="18"/>
      <c r="E32" s="155">
        <f>Baseline!E40</f>
        <v>2500</v>
      </c>
      <c r="F32" s="156">
        <f>Baseline!F40</f>
        <v>2562.5</v>
      </c>
      <c r="G32" s="156">
        <f>Baseline!G40</f>
        <v>2626.5624999999995</v>
      </c>
      <c r="H32" s="156">
        <f>Baseline!H40</f>
        <v>2692.2265624999991</v>
      </c>
      <c r="I32" s="156">
        <f>Baseline!I40</f>
        <v>2759.5322265624986</v>
      </c>
      <c r="J32" s="156">
        <f>Baseline!J40</f>
        <v>2828.520532226561</v>
      </c>
      <c r="K32" s="156">
        <f>Baseline!K40</f>
        <v>2899.233545532225</v>
      </c>
      <c r="L32" s="156">
        <f>Baseline!L40</f>
        <v>2971.7143841705301</v>
      </c>
      <c r="M32" s="156">
        <f>Baseline!M40</f>
        <v>3046.0072437747931</v>
      </c>
      <c r="N32" s="156">
        <f>Baseline!N40</f>
        <v>3122.1574248691627</v>
      </c>
      <c r="O32" s="156">
        <f>Baseline!O40</f>
        <v>3200.2113604908914</v>
      </c>
      <c r="P32" s="156">
        <f>Baseline!P40</f>
        <v>3280.2166445031635</v>
      </c>
      <c r="Q32" s="157">
        <f>Baseline!Q40</f>
        <v>3362.2220606157421</v>
      </c>
    </row>
    <row r="33" spans="2:19" x14ac:dyDescent="0.2">
      <c r="B33" s="18" t="s">
        <v>34</v>
      </c>
      <c r="C33" s="18"/>
      <c r="D33" s="18"/>
      <c r="E33" s="194">
        <f>Baseline!E41</f>
        <v>2.6941551724137933</v>
      </c>
      <c r="F33" s="195">
        <f>Baseline!F41</f>
        <v>3.0207194222222222</v>
      </c>
      <c r="G33" s="195">
        <f>Baseline!G41</f>
        <v>3.0366526297777781</v>
      </c>
      <c r="H33" s="195">
        <f>Baseline!H41</f>
        <v>3.0524175475144451</v>
      </c>
      <c r="I33" s="195">
        <f>Baseline!I41</f>
        <v>2.9859999337087006</v>
      </c>
      <c r="J33" s="195">
        <f>Baseline!J41</f>
        <v>2.7604720044149373</v>
      </c>
      <c r="K33" s="195">
        <f>Baseline!K41</f>
        <v>2.7884249564837114</v>
      </c>
      <c r="L33" s="195">
        <f>Baseline!L41</f>
        <v>2.8088639525799781</v>
      </c>
      <c r="M33" s="195">
        <f>Baseline!M41</f>
        <v>2.704535290699301</v>
      </c>
      <c r="N33" s="195">
        <f>Baseline!N41</f>
        <v>2.7205760281472751</v>
      </c>
      <c r="O33" s="195">
        <f>Baseline!O41</f>
        <v>2.736216113292476</v>
      </c>
      <c r="P33" s="195">
        <f>Baseline!P41</f>
        <v>2.7741624034166876</v>
      </c>
      <c r="Q33" s="196">
        <f>Baseline!Q41</f>
        <v>2.6770116668129895</v>
      </c>
    </row>
    <row r="34" spans="2:19" x14ac:dyDescent="0.2">
      <c r="B34" s="18" t="s">
        <v>35</v>
      </c>
      <c r="C34" s="18"/>
      <c r="D34" s="18"/>
      <c r="E34" s="197">
        <f>Baseline!E42</f>
        <v>0.68938676470588234</v>
      </c>
      <c r="F34" s="198">
        <f>Baseline!F42</f>
        <v>0.75517985555555556</v>
      </c>
      <c r="G34" s="198">
        <f>Baseline!G42</f>
        <v>0.75916315744444451</v>
      </c>
      <c r="H34" s="198">
        <f>Baseline!H42</f>
        <v>0.76310438687861126</v>
      </c>
      <c r="I34" s="198">
        <f>Baseline!I42</f>
        <v>0.74649998342717516</v>
      </c>
      <c r="J34" s="198">
        <f>Baseline!J42</f>
        <v>0.64996568103951702</v>
      </c>
      <c r="K34" s="198">
        <f>Baseline!K42</f>
        <v>0.64133773999125365</v>
      </c>
      <c r="L34" s="198">
        <f>Baseline!L42</f>
        <v>0.646038709093395</v>
      </c>
      <c r="M34" s="198">
        <f>Baseline!M42</f>
        <v>0.62204311686083924</v>
      </c>
      <c r="N34" s="198">
        <f>Baseline!N42</f>
        <v>0.62573248647387325</v>
      </c>
      <c r="O34" s="198">
        <f>Baseline!O42</f>
        <v>0.62932970605726957</v>
      </c>
      <c r="P34" s="198">
        <f>Baseline!P42</f>
        <v>0.63805735278583819</v>
      </c>
      <c r="Q34" s="199">
        <f>Baseline!Q42</f>
        <v>0.61571268336698759</v>
      </c>
    </row>
    <row r="36" spans="2:19" x14ac:dyDescent="0.2">
      <c r="B36" s="11" t="s">
        <v>132</v>
      </c>
      <c r="C36" s="11"/>
      <c r="D36" s="11"/>
    </row>
    <row r="37" spans="2:19" x14ac:dyDescent="0.2">
      <c r="B37" s="18" t="s">
        <v>34</v>
      </c>
      <c r="C37" s="18"/>
      <c r="D37" s="18"/>
      <c r="E37" s="236">
        <f>(E$78*1000*50%)/E$27</f>
        <v>0</v>
      </c>
      <c r="F37" s="237">
        <f t="shared" ref="F37:Q37" si="2">(F$78*1000*50%)/F$27</f>
        <v>0</v>
      </c>
      <c r="G37" s="237">
        <f t="shared" si="2"/>
        <v>0</v>
      </c>
      <c r="H37" s="237">
        <f t="shared" si="2"/>
        <v>0.235469874739347</v>
      </c>
      <c r="I37" s="237">
        <f t="shared" si="2"/>
        <v>0</v>
      </c>
      <c r="J37" s="237">
        <f t="shared" si="2"/>
        <v>0</v>
      </c>
      <c r="K37" s="237">
        <f t="shared" si="2"/>
        <v>0</v>
      </c>
      <c r="L37" s="237">
        <f t="shared" si="2"/>
        <v>0</v>
      </c>
      <c r="M37" s="237">
        <f t="shared" si="2"/>
        <v>0</v>
      </c>
      <c r="N37" s="237">
        <f t="shared" si="2"/>
        <v>0</v>
      </c>
      <c r="O37" s="237">
        <f t="shared" si="2"/>
        <v>-0.37548132111130944</v>
      </c>
      <c r="P37" s="237">
        <f t="shared" si="2"/>
        <v>0</v>
      </c>
      <c r="Q37" s="238">
        <f t="shared" si="2"/>
        <v>0</v>
      </c>
      <c r="S37" s="167"/>
    </row>
    <row r="38" spans="2:19" x14ac:dyDescent="0.2">
      <c r="B38" s="18" t="s">
        <v>35</v>
      </c>
      <c r="C38" s="18"/>
      <c r="D38" s="18"/>
      <c r="E38" s="208">
        <f>(E$78*1000*50%)/E$28</f>
        <v>0</v>
      </c>
      <c r="F38" s="210">
        <f t="shared" ref="F38:Q38" si="3">(F$78*1000*50%)/F$28</f>
        <v>0</v>
      </c>
      <c r="G38" s="210">
        <f t="shared" si="3"/>
        <v>0</v>
      </c>
      <c r="H38" s="210">
        <f t="shared" si="3"/>
        <v>5.8867468684836749E-2</v>
      </c>
      <c r="I38" s="210">
        <f t="shared" si="3"/>
        <v>0</v>
      </c>
      <c r="J38" s="210">
        <f t="shared" si="3"/>
        <v>0</v>
      </c>
      <c r="K38" s="210">
        <f t="shared" si="3"/>
        <v>0</v>
      </c>
      <c r="L38" s="210">
        <f t="shared" si="3"/>
        <v>0</v>
      </c>
      <c r="M38" s="210">
        <f t="shared" si="3"/>
        <v>0</v>
      </c>
      <c r="N38" s="210">
        <f t="shared" si="3"/>
        <v>0</v>
      </c>
      <c r="O38" s="210">
        <f t="shared" si="3"/>
        <v>-8.636070385560117E-2</v>
      </c>
      <c r="P38" s="210">
        <f t="shared" si="3"/>
        <v>0</v>
      </c>
      <c r="Q38" s="211">
        <f t="shared" si="3"/>
        <v>0</v>
      </c>
    </row>
    <row r="40" spans="2:19" x14ac:dyDescent="0.2">
      <c r="B40" s="11" t="s">
        <v>133</v>
      </c>
      <c r="C40" s="11"/>
      <c r="D40" s="11"/>
      <c r="E40" s="3" t="s">
        <v>12</v>
      </c>
      <c r="F40" s="3" t="s">
        <v>13</v>
      </c>
      <c r="G40" s="3" t="s">
        <v>14</v>
      </c>
      <c r="H40" s="3" t="s">
        <v>15</v>
      </c>
      <c r="I40" s="3" t="s">
        <v>16</v>
      </c>
      <c r="J40" s="3" t="s">
        <v>17</v>
      </c>
      <c r="K40" s="3" t="s">
        <v>18</v>
      </c>
      <c r="L40" s="3" t="s">
        <v>19</v>
      </c>
      <c r="M40" s="77" t="s">
        <v>20</v>
      </c>
      <c r="N40" s="3" t="s">
        <v>21</v>
      </c>
      <c r="O40" s="3" t="s">
        <v>22</v>
      </c>
      <c r="P40" s="3" t="s">
        <v>23</v>
      </c>
      <c r="Q40" s="3" t="s">
        <v>24</v>
      </c>
    </row>
    <row r="41" spans="2:19" x14ac:dyDescent="0.2">
      <c r="B41" s="18" t="s">
        <v>32</v>
      </c>
      <c r="C41" s="18"/>
      <c r="D41" s="18"/>
      <c r="E41" s="152">
        <f>E31</f>
        <v>0.5</v>
      </c>
      <c r="F41" s="153">
        <f t="shared" ref="F41:Q41" si="4">F31</f>
        <v>0.51749999999999996</v>
      </c>
      <c r="G41" s="153">
        <f t="shared" si="4"/>
        <v>0.53561249999999994</v>
      </c>
      <c r="H41" s="153">
        <f t="shared" si="4"/>
        <v>0.55435893749999987</v>
      </c>
      <c r="I41" s="153">
        <f t="shared" si="4"/>
        <v>0.57376150031249984</v>
      </c>
      <c r="J41" s="153">
        <f t="shared" si="4"/>
        <v>0.59384315282343725</v>
      </c>
      <c r="K41" s="153">
        <f t="shared" si="4"/>
        <v>0.61462766317225748</v>
      </c>
      <c r="L41" s="153">
        <f t="shared" si="4"/>
        <v>0.63613963138328644</v>
      </c>
      <c r="M41" s="153">
        <f t="shared" si="4"/>
        <v>0.65840451848170145</v>
      </c>
      <c r="N41" s="153">
        <f t="shared" si="4"/>
        <v>0.6814486766285609</v>
      </c>
      <c r="O41" s="153">
        <f t="shared" si="4"/>
        <v>0.7052993803105605</v>
      </c>
      <c r="P41" s="153">
        <f t="shared" si="4"/>
        <v>0.72998485862143003</v>
      </c>
      <c r="Q41" s="154">
        <f t="shared" si="4"/>
        <v>0.75553432867318004</v>
      </c>
    </row>
    <row r="42" spans="2:19" x14ac:dyDescent="0.2">
      <c r="B42" s="18" t="s">
        <v>33</v>
      </c>
      <c r="C42" s="18"/>
      <c r="D42" s="18"/>
      <c r="E42" s="155">
        <f>E32</f>
        <v>2500</v>
      </c>
      <c r="F42" s="156">
        <f t="shared" ref="F42:Q42" si="5">F32</f>
        <v>2562.5</v>
      </c>
      <c r="G42" s="156">
        <f t="shared" si="5"/>
        <v>2626.5624999999995</v>
      </c>
      <c r="H42" s="156">
        <f t="shared" si="5"/>
        <v>2692.2265624999991</v>
      </c>
      <c r="I42" s="156">
        <f t="shared" si="5"/>
        <v>2759.5322265624986</v>
      </c>
      <c r="J42" s="156">
        <f t="shared" si="5"/>
        <v>2828.520532226561</v>
      </c>
      <c r="K42" s="156">
        <f t="shared" si="5"/>
        <v>2899.233545532225</v>
      </c>
      <c r="L42" s="156">
        <f t="shared" si="5"/>
        <v>2971.7143841705301</v>
      </c>
      <c r="M42" s="156">
        <f t="shared" si="5"/>
        <v>3046.0072437747931</v>
      </c>
      <c r="N42" s="156">
        <f t="shared" si="5"/>
        <v>3122.1574248691627</v>
      </c>
      <c r="O42" s="156">
        <f t="shared" si="5"/>
        <v>3200.2113604908914</v>
      </c>
      <c r="P42" s="156">
        <f t="shared" si="5"/>
        <v>3280.2166445031635</v>
      </c>
      <c r="Q42" s="157">
        <f t="shared" si="5"/>
        <v>3362.2220606157421</v>
      </c>
    </row>
    <row r="43" spans="2:19" x14ac:dyDescent="0.2">
      <c r="B43" s="18" t="s">
        <v>34</v>
      </c>
      <c r="C43" s="18"/>
      <c r="D43" s="18"/>
      <c r="E43" s="230">
        <f>E33+E37</f>
        <v>2.6941551724137933</v>
      </c>
      <c r="F43" s="231">
        <f t="shared" ref="F43:Q43" si="6">F33+F37</f>
        <v>3.0207194222222222</v>
      </c>
      <c r="G43" s="231">
        <f t="shared" si="6"/>
        <v>3.0366526297777781</v>
      </c>
      <c r="H43" s="231">
        <f t="shared" si="6"/>
        <v>3.2878874222537919</v>
      </c>
      <c r="I43" s="231">
        <f t="shared" si="6"/>
        <v>2.9859999337087006</v>
      </c>
      <c r="J43" s="231">
        <f t="shared" si="6"/>
        <v>2.7604720044149373</v>
      </c>
      <c r="K43" s="231">
        <f t="shared" si="6"/>
        <v>2.7884249564837114</v>
      </c>
      <c r="L43" s="231">
        <f t="shared" si="6"/>
        <v>2.8088639525799781</v>
      </c>
      <c r="M43" s="231">
        <f t="shared" si="6"/>
        <v>2.704535290699301</v>
      </c>
      <c r="N43" s="231">
        <f t="shared" si="6"/>
        <v>2.7205760281472751</v>
      </c>
      <c r="O43" s="231">
        <f t="shared" si="6"/>
        <v>2.3607347921811668</v>
      </c>
      <c r="P43" s="231">
        <f t="shared" si="6"/>
        <v>2.7741624034166876</v>
      </c>
      <c r="Q43" s="232">
        <f t="shared" si="6"/>
        <v>2.6770116668129895</v>
      </c>
    </row>
    <row r="44" spans="2:19" x14ac:dyDescent="0.2">
      <c r="B44" s="18" t="s">
        <v>35</v>
      </c>
      <c r="C44" s="18"/>
      <c r="D44" s="18"/>
      <c r="E44" s="233">
        <f>E34+E38</f>
        <v>0.68938676470588234</v>
      </c>
      <c r="F44" s="234">
        <f t="shared" ref="F44:Q44" si="7">F34+F38</f>
        <v>0.75517985555555556</v>
      </c>
      <c r="G44" s="234">
        <f t="shared" si="7"/>
        <v>0.75916315744444451</v>
      </c>
      <c r="H44" s="234">
        <f t="shared" si="7"/>
        <v>0.82197185556344798</v>
      </c>
      <c r="I44" s="234">
        <f t="shared" si="7"/>
        <v>0.74649998342717516</v>
      </c>
      <c r="J44" s="234">
        <f t="shared" si="7"/>
        <v>0.64996568103951702</v>
      </c>
      <c r="K44" s="234">
        <f t="shared" si="7"/>
        <v>0.64133773999125365</v>
      </c>
      <c r="L44" s="234">
        <f t="shared" si="7"/>
        <v>0.646038709093395</v>
      </c>
      <c r="M44" s="234">
        <f t="shared" si="7"/>
        <v>0.62204311686083924</v>
      </c>
      <c r="N44" s="234">
        <f t="shared" si="7"/>
        <v>0.62573248647387325</v>
      </c>
      <c r="O44" s="234">
        <f t="shared" si="7"/>
        <v>0.54296900220166844</v>
      </c>
      <c r="P44" s="234">
        <f t="shared" si="7"/>
        <v>0.63805735278583819</v>
      </c>
      <c r="Q44" s="235">
        <f t="shared" si="7"/>
        <v>0.61571268336698759</v>
      </c>
    </row>
    <row r="46" spans="2:19" s="239" customFormat="1" x14ac:dyDescent="0.2"/>
    <row r="47" spans="2:19" ht="3" customHeight="1" x14ac:dyDescent="0.2"/>
    <row r="48" spans="2:19" x14ac:dyDescent="0.2">
      <c r="B48" s="11" t="s">
        <v>78</v>
      </c>
      <c r="C48" s="11"/>
      <c r="D48" s="11"/>
      <c r="E48" s="3" t="s">
        <v>12</v>
      </c>
      <c r="F48" s="3" t="s">
        <v>13</v>
      </c>
      <c r="G48" s="3" t="s">
        <v>14</v>
      </c>
      <c r="H48" s="3" t="s">
        <v>15</v>
      </c>
      <c r="I48" s="3" t="s">
        <v>16</v>
      </c>
      <c r="J48" s="3" t="s">
        <v>17</v>
      </c>
      <c r="K48" s="3" t="s">
        <v>18</v>
      </c>
      <c r="L48" s="3" t="s">
        <v>19</v>
      </c>
      <c r="M48" s="77" t="s">
        <v>20</v>
      </c>
      <c r="N48" s="3" t="s">
        <v>21</v>
      </c>
      <c r="O48" s="3" t="s">
        <v>22</v>
      </c>
      <c r="P48" s="3" t="s">
        <v>23</v>
      </c>
      <c r="Q48" s="3" t="s">
        <v>24</v>
      </c>
    </row>
    <row r="49" spans="2:17" x14ac:dyDescent="0.2">
      <c r="B49" s="10" t="s">
        <v>48</v>
      </c>
      <c r="C49" s="10"/>
      <c r="D49" s="10"/>
      <c r="E49" s="175">
        <f>(E50*AVERAGE(Assumptions!$D$17,Assumptions!$D$18)*Assumptions!$D$15)/1000</f>
        <v>28588950</v>
      </c>
      <c r="F49" s="175">
        <f>(F50*AVERAGE(Assumptions!$D$17,Assumptions!$D$18)*Assumptions!$D$15)/1000</f>
        <v>28588950</v>
      </c>
      <c r="G49" s="175">
        <f>(G50*AVERAGE(Assumptions!$D$17,Assumptions!$D$18)*Assumptions!$D$15)/1000</f>
        <v>28588950</v>
      </c>
      <c r="H49" s="175">
        <f>(H50*AVERAGE(Assumptions!$D$17,Assumptions!$D$18)*Assumptions!$D$15)/1000</f>
        <v>28588950</v>
      </c>
      <c r="I49" s="175">
        <f>(I50*AVERAGE(Assumptions!$D$17,Assumptions!$D$18)*Assumptions!$D$15)/1000</f>
        <v>28588950</v>
      </c>
      <c r="J49" s="175">
        <f>(J50*AVERAGE(Assumptions!$D$17,Assumptions!$D$18)*Assumptions!$D$15)/1000</f>
        <v>28588950</v>
      </c>
      <c r="K49" s="175">
        <f>(K50*AVERAGE(Assumptions!$D$17,Assumptions!$D$18)*Assumptions!$D$15)/1000</f>
        <v>28588950</v>
      </c>
      <c r="L49" s="175">
        <f>(L50*AVERAGE(Assumptions!$D$17,Assumptions!$D$18)*Assumptions!$D$15)/1000</f>
        <v>28588950</v>
      </c>
      <c r="M49" s="175">
        <f>(M50*AVERAGE(Assumptions!$D$17,Assumptions!$D$18)*Assumptions!$D$15)/1000</f>
        <v>28588950</v>
      </c>
      <c r="N49" s="175">
        <f>(N50*AVERAGE(Assumptions!$D$17,Assumptions!$D$18)*Assumptions!$D$15)/1000</f>
        <v>28588950</v>
      </c>
      <c r="O49" s="175">
        <f>(O50*AVERAGE(Assumptions!$D$17,Assumptions!$D$18)*Assumptions!$D$15)/1000</f>
        <v>28588950</v>
      </c>
      <c r="P49" s="175">
        <f>(P50*AVERAGE(Assumptions!$D$17,Assumptions!$D$18)*Assumptions!$D$15)/1000</f>
        <v>28588950</v>
      </c>
      <c r="Q49" s="205">
        <f>(Q50*AVERAGE(Assumptions!$D$17,Assumptions!$D$18)*Assumptions!$D$15)/1000</f>
        <v>28588950</v>
      </c>
    </row>
    <row r="50" spans="2:17" x14ac:dyDescent="0.2">
      <c r="B50" s="10" t="s">
        <v>49</v>
      </c>
      <c r="C50" s="10"/>
      <c r="D50" s="10"/>
      <c r="E50" s="178">
        <f>ROUNDUP(E52/Assumptions!$D$16,0)*2</f>
        <v>14118</v>
      </c>
      <c r="F50" s="178">
        <f>ROUNDUP(F52/Assumptions!$D$16,0)*2</f>
        <v>14118</v>
      </c>
      <c r="G50" s="178">
        <f>ROUNDUP(G52/Assumptions!$D$16,0)*2</f>
        <v>14118</v>
      </c>
      <c r="H50" s="178">
        <f>ROUNDUP(H52/Assumptions!$D$16,0)*2</f>
        <v>14118</v>
      </c>
      <c r="I50" s="178">
        <f>ROUNDUP(I52/Assumptions!$D$16,0)*2</f>
        <v>14118</v>
      </c>
      <c r="J50" s="178">
        <f>ROUNDUP(J52/Assumptions!$D$16,0)*2</f>
        <v>14118</v>
      </c>
      <c r="K50" s="178">
        <f>ROUNDUP(K52/Assumptions!$D$16,0)*2</f>
        <v>14118</v>
      </c>
      <c r="L50" s="178">
        <f>ROUNDUP(L52/Assumptions!$D$16,0)*2</f>
        <v>14118</v>
      </c>
      <c r="M50" s="178">
        <f>ROUNDUP(M52/Assumptions!$D$16,0)*2</f>
        <v>14118</v>
      </c>
      <c r="N50" s="178">
        <f>ROUNDUP(N52/Assumptions!$D$16,0)*2</f>
        <v>14118</v>
      </c>
      <c r="O50" s="178">
        <f>ROUNDUP(O52/Assumptions!$D$16,0)*2</f>
        <v>14118</v>
      </c>
      <c r="P50" s="178">
        <f>ROUNDUP(P52/Assumptions!$D$16,0)*2</f>
        <v>14118</v>
      </c>
      <c r="Q50" s="206">
        <f>ROUNDUP(Q52/Assumptions!$D$16,0)*2</f>
        <v>14118</v>
      </c>
    </row>
    <row r="51" spans="2:17" x14ac:dyDescent="0.2">
      <c r="B51" s="10" t="s">
        <v>50</v>
      </c>
      <c r="C51" s="10"/>
      <c r="D51" s="10"/>
      <c r="E51" s="178">
        <f>(E52*Assumptions!$D$15)/1000</f>
        <v>18000000</v>
      </c>
      <c r="F51" s="178">
        <f>(F52*Assumptions!$D$15)/1000</f>
        <v>18000000</v>
      </c>
      <c r="G51" s="178">
        <f>(G52*Assumptions!$D$15)/1000</f>
        <v>18000000</v>
      </c>
      <c r="H51" s="178">
        <f>(H52*Assumptions!$D$15)/1000</f>
        <v>18000000</v>
      </c>
      <c r="I51" s="178">
        <f>(I52*Assumptions!$D$15)/1000</f>
        <v>18000000</v>
      </c>
      <c r="J51" s="178">
        <f>(J52*Assumptions!$D$15)/1000</f>
        <v>18000000</v>
      </c>
      <c r="K51" s="178">
        <f>(K52*Assumptions!$D$15)/1000</f>
        <v>18000000</v>
      </c>
      <c r="L51" s="178">
        <f>(L52*Assumptions!$D$15)/1000</f>
        <v>18000000</v>
      </c>
      <c r="M51" s="178">
        <f>(M52*Assumptions!$D$15)/1000</f>
        <v>18000000</v>
      </c>
      <c r="N51" s="178">
        <f>(N52*Assumptions!$D$15)/1000</f>
        <v>18000000</v>
      </c>
      <c r="O51" s="178">
        <f>(O52*Assumptions!$D$15)/1000</f>
        <v>18000000</v>
      </c>
      <c r="P51" s="178">
        <f>(P52*Assumptions!$D$15)/1000</f>
        <v>18000000</v>
      </c>
      <c r="Q51" s="206">
        <f>(Q52*Assumptions!$D$15)/1000</f>
        <v>18000000</v>
      </c>
    </row>
    <row r="52" spans="2:17" x14ac:dyDescent="0.2">
      <c r="B52" s="10" t="s">
        <v>51</v>
      </c>
      <c r="C52" s="10"/>
      <c r="D52" s="10"/>
      <c r="E52" s="124">
        <f>Assumptions!E26</f>
        <v>60000000</v>
      </c>
      <c r="F52" s="124">
        <f>Assumptions!F26</f>
        <v>60000000</v>
      </c>
      <c r="G52" s="124">
        <f>Assumptions!G26</f>
        <v>60000000</v>
      </c>
      <c r="H52" s="124">
        <f>Assumptions!H26</f>
        <v>60000000</v>
      </c>
      <c r="I52" s="124">
        <f>Assumptions!I26</f>
        <v>60000000</v>
      </c>
      <c r="J52" s="124">
        <f>Assumptions!J26</f>
        <v>60000000</v>
      </c>
      <c r="K52" s="124">
        <f>Assumptions!K26</f>
        <v>60000000</v>
      </c>
      <c r="L52" s="124">
        <f>Assumptions!L26</f>
        <v>60000000</v>
      </c>
      <c r="M52" s="124">
        <f>Assumptions!M26</f>
        <v>60000000</v>
      </c>
      <c r="N52" s="124">
        <f>Assumptions!N26</f>
        <v>60000000</v>
      </c>
      <c r="O52" s="124">
        <f>Assumptions!O26</f>
        <v>60000000</v>
      </c>
      <c r="P52" s="124">
        <f>Assumptions!P26</f>
        <v>60000000</v>
      </c>
      <c r="Q52" s="193">
        <f>Assumptions!Q26</f>
        <v>60000000</v>
      </c>
    </row>
    <row r="54" spans="2:17" x14ac:dyDescent="0.2">
      <c r="B54" s="10" t="s">
        <v>52</v>
      </c>
      <c r="C54" s="10"/>
      <c r="D54" s="10"/>
      <c r="E54" s="175">
        <f>(E55*AVERAGE(Assumptions!$E$17,Assumptions!$E$18)*Assumptions!$E$15)/1000</f>
        <v>5957550</v>
      </c>
      <c r="F54" s="175">
        <f>(F55*AVERAGE(Assumptions!$E$17,Assumptions!$E$18)*Assumptions!$E$15)/1000</f>
        <v>5957550</v>
      </c>
      <c r="G54" s="175">
        <f>(G55*AVERAGE(Assumptions!$E$17,Assumptions!$E$18)*Assumptions!$E$15)/1000</f>
        <v>7148250</v>
      </c>
      <c r="H54" s="175">
        <f>(H55*AVERAGE(Assumptions!$E$17,Assumptions!$E$18)*Assumptions!$E$15)/1000</f>
        <v>7148250</v>
      </c>
      <c r="I54" s="175">
        <f>(I55*AVERAGE(Assumptions!$E$17,Assumptions!$E$18)*Assumptions!$E$15)/1000</f>
        <v>7148250</v>
      </c>
      <c r="J54" s="175">
        <f>(J55*AVERAGE(Assumptions!$E$17,Assumptions!$E$18)*Assumptions!$E$15)/1000</f>
        <v>7148250</v>
      </c>
      <c r="K54" s="175">
        <f>(K55*AVERAGE(Assumptions!$E$17,Assumptions!$E$18)*Assumptions!$E$15)/1000</f>
        <v>7148250</v>
      </c>
      <c r="L54" s="175">
        <f>(L55*AVERAGE(Assumptions!$E$17,Assumptions!$E$18)*Assumptions!$E$15)/1000</f>
        <v>7148250</v>
      </c>
      <c r="M54" s="175">
        <f>(M55*AVERAGE(Assumptions!$E$17,Assumptions!$E$18)*Assumptions!$E$15)/1000</f>
        <v>8338950</v>
      </c>
      <c r="N54" s="175">
        <f>(N55*AVERAGE(Assumptions!$E$17,Assumptions!$E$18)*Assumptions!$E$15)/1000</f>
        <v>7148250</v>
      </c>
      <c r="O54" s="175">
        <f>(O55*AVERAGE(Assumptions!$E$17,Assumptions!$E$18)*Assumptions!$E$15)/1000</f>
        <v>7148250</v>
      </c>
      <c r="P54" s="175">
        <f>(P55*AVERAGE(Assumptions!$E$17,Assumptions!$E$18)*Assumptions!$E$15)/1000</f>
        <v>7148250</v>
      </c>
      <c r="Q54" s="205">
        <f>(Q55*AVERAGE(Assumptions!$E$17,Assumptions!$E$18)*Assumptions!$E$15)/1000</f>
        <v>7148250</v>
      </c>
    </row>
    <row r="55" spans="2:17" x14ac:dyDescent="0.2">
      <c r="B55" s="10" t="s">
        <v>53</v>
      </c>
      <c r="C55" s="10"/>
      <c r="D55" s="10"/>
      <c r="E55" s="178">
        <f>ROUNDUP(E57/Assumptions!$E$16,0)*2</f>
        <v>5884</v>
      </c>
      <c r="F55" s="178">
        <f>ROUNDUP(F57/Assumptions!$E$16,0)*2</f>
        <v>5884</v>
      </c>
      <c r="G55" s="178">
        <f>ROUNDUP(G57/Assumptions!$E$16,0)*2</f>
        <v>7060</v>
      </c>
      <c r="H55" s="178">
        <f>ROUNDUP(H57/Assumptions!$E$16,0)*2</f>
        <v>7060</v>
      </c>
      <c r="I55" s="178">
        <f>ROUNDUP(I57/Assumptions!$E$16,0)*2</f>
        <v>7060</v>
      </c>
      <c r="J55" s="178">
        <f>ROUNDUP(J57/Assumptions!$E$16,0)*2</f>
        <v>7060</v>
      </c>
      <c r="K55" s="178">
        <f>ROUNDUP(K57/Assumptions!$E$16,0)*2</f>
        <v>7060</v>
      </c>
      <c r="L55" s="178">
        <f>ROUNDUP(L57/Assumptions!$E$16,0)*2</f>
        <v>7060</v>
      </c>
      <c r="M55" s="178">
        <f>ROUNDUP(M57/Assumptions!$E$16,0)*2</f>
        <v>8236</v>
      </c>
      <c r="N55" s="178">
        <f>ROUNDUP(N57/Assumptions!$E$16,0)*2</f>
        <v>7060</v>
      </c>
      <c r="O55" s="178">
        <f>ROUNDUP(O57/Assumptions!$E$16,0)*2</f>
        <v>7060</v>
      </c>
      <c r="P55" s="178">
        <f>ROUNDUP(P57/Assumptions!$E$16,0)*2</f>
        <v>7060</v>
      </c>
      <c r="Q55" s="206">
        <f>ROUNDUP(Q57/Assumptions!$E$16,0)*2</f>
        <v>7060</v>
      </c>
    </row>
    <row r="56" spans="2:17" x14ac:dyDescent="0.2">
      <c r="B56" s="10" t="s">
        <v>54</v>
      </c>
      <c r="C56" s="10"/>
      <c r="D56" s="10"/>
      <c r="E56" s="178">
        <f>(E57*Assumptions!$E$15)/1000</f>
        <v>3750000</v>
      </c>
      <c r="F56" s="178">
        <f>(F57*Assumptions!$E$15)/1000</f>
        <v>3750000</v>
      </c>
      <c r="G56" s="178">
        <f>(G57*Assumptions!$E$15)/1000</f>
        <v>4500000</v>
      </c>
      <c r="H56" s="178">
        <f>(H57*Assumptions!$E$15)/1000</f>
        <v>4500000</v>
      </c>
      <c r="I56" s="178">
        <f>(I57*Assumptions!$E$15)/1000</f>
        <v>4500000</v>
      </c>
      <c r="J56" s="178">
        <f>(J57*Assumptions!$E$15)/1000</f>
        <v>4500000</v>
      </c>
      <c r="K56" s="178">
        <f>(K57*Assumptions!$E$15)/1000</f>
        <v>4500000</v>
      </c>
      <c r="L56" s="178">
        <f>(L57*Assumptions!$E$15)/1000</f>
        <v>4500000</v>
      </c>
      <c r="M56" s="178">
        <f>(M57*Assumptions!$E$15)/1000</f>
        <v>5250000</v>
      </c>
      <c r="N56" s="178">
        <f>(N57*Assumptions!$E$15)/1000</f>
        <v>4500000</v>
      </c>
      <c r="O56" s="178">
        <f>(O57*Assumptions!$E$15)/1000</f>
        <v>4500000</v>
      </c>
      <c r="P56" s="178">
        <f>(P57*Assumptions!$E$15)/1000</f>
        <v>4500000</v>
      </c>
      <c r="Q56" s="206">
        <f>(Q57*Assumptions!$E$15)/1000</f>
        <v>4500000</v>
      </c>
    </row>
    <row r="57" spans="2:17" x14ac:dyDescent="0.2">
      <c r="B57" s="10" t="s">
        <v>55</v>
      </c>
      <c r="C57" s="10"/>
      <c r="D57" s="10"/>
      <c r="E57" s="124">
        <f>Assumptions!E32</f>
        <v>25000000</v>
      </c>
      <c r="F57" s="200">
        <v>25000000</v>
      </c>
      <c r="G57" s="156">
        <f>Assumptions!G32</f>
        <v>30000000</v>
      </c>
      <c r="H57" s="156">
        <f>Assumptions!H32</f>
        <v>30000000</v>
      </c>
      <c r="I57" s="156">
        <f>Assumptions!I32</f>
        <v>30000000</v>
      </c>
      <c r="J57" s="156">
        <f>Assumptions!J32</f>
        <v>30000000</v>
      </c>
      <c r="K57" s="156">
        <f>Assumptions!K32</f>
        <v>30000000</v>
      </c>
      <c r="L57" s="156">
        <f>Assumptions!L32</f>
        <v>30000000</v>
      </c>
      <c r="M57" s="140">
        <v>35000000</v>
      </c>
      <c r="N57" s="156">
        <f>Assumptions!N32</f>
        <v>30000000</v>
      </c>
      <c r="O57" s="156">
        <f>Assumptions!O32</f>
        <v>30000000</v>
      </c>
      <c r="P57" s="156">
        <f>Assumptions!P32</f>
        <v>30000000</v>
      </c>
      <c r="Q57" s="156">
        <f>Assumptions!Q32</f>
        <v>30000000</v>
      </c>
    </row>
    <row r="59" spans="2:17" x14ac:dyDescent="0.2">
      <c r="B59" s="10" t="s">
        <v>56</v>
      </c>
      <c r="C59" s="10"/>
      <c r="D59" s="10"/>
      <c r="E59" s="175">
        <f>(E60*AVERAGE(Assumptions!$F$17,Assumptions!$F$18)*Assumptions!$F$15)/1000</f>
        <v>0</v>
      </c>
      <c r="F59" s="176">
        <f>(F60*AVERAGE(Assumptions!$F$17,Assumptions!$F$18)*Assumptions!$F$15)/1000</f>
        <v>0</v>
      </c>
      <c r="G59" s="176">
        <f>(G60*AVERAGE(Assumptions!$F$17,Assumptions!$F$18)*Assumptions!$F$15)/1000</f>
        <v>0</v>
      </c>
      <c r="H59" s="176">
        <f>(H60*AVERAGE(Assumptions!$F$17,Assumptions!$F$18)*Assumptions!$F$15)/1000</f>
        <v>0</v>
      </c>
      <c r="I59" s="176">
        <f>(I60*AVERAGE(Assumptions!$F$17,Assumptions!$F$18)*Assumptions!$F$15)/1000</f>
        <v>0</v>
      </c>
      <c r="J59" s="176">
        <f>(J60*AVERAGE(Assumptions!$F$17,Assumptions!$F$18)*Assumptions!$F$15)/1000</f>
        <v>5400135</v>
      </c>
      <c r="K59" s="176">
        <f>(K60*AVERAGE(Assumptions!$F$17,Assumptions!$F$18)*Assumptions!$F$15)/1000</f>
        <v>8101350</v>
      </c>
      <c r="L59" s="176">
        <f>(L60*AVERAGE(Assumptions!$F$17,Assumptions!$F$18)*Assumptions!$F$15)/1000</f>
        <v>8101350</v>
      </c>
      <c r="M59" s="176">
        <f>(M60*AVERAGE(Assumptions!$F$17,Assumptions!$F$18)*Assumptions!$F$15)/1000</f>
        <v>9450810</v>
      </c>
      <c r="N59" s="176">
        <f>(N60*AVERAGE(Assumptions!$F$17,Assumptions!$F$18)*Assumptions!$F$15)/1000</f>
        <v>8101350</v>
      </c>
      <c r="O59" s="176">
        <f>(O60*AVERAGE(Assumptions!$F$17,Assumptions!$F$18)*Assumptions!$F$15)/1000</f>
        <v>8101350</v>
      </c>
      <c r="P59" s="176">
        <f>(P60*AVERAGE(Assumptions!$F$17,Assumptions!$F$18)*Assumptions!$F$15)/1000</f>
        <v>8101350</v>
      </c>
      <c r="Q59" s="177">
        <f>(Q60*AVERAGE(Assumptions!$F$17,Assumptions!$F$18)*Assumptions!$F$15)/1000</f>
        <v>8101350</v>
      </c>
    </row>
    <row r="60" spans="2:17" x14ac:dyDescent="0.2">
      <c r="B60" s="10" t="s">
        <v>57</v>
      </c>
      <c r="C60" s="10"/>
      <c r="D60" s="10"/>
      <c r="E60" s="178">
        <f>ROUNDUP(E62/Assumptions!$F$16,0)*2</f>
        <v>0</v>
      </c>
      <c r="F60" s="179">
        <f>ROUNDUP(F62/Assumptions!$F$16,0)*2</f>
        <v>0</v>
      </c>
      <c r="G60" s="179">
        <f>ROUNDUP(G62/Assumptions!$F$16,0)*2</f>
        <v>0</v>
      </c>
      <c r="H60" s="179">
        <f>ROUNDUP(H62/Assumptions!$F$16,0)*2</f>
        <v>0</v>
      </c>
      <c r="I60" s="179">
        <f>ROUNDUP(I62/Assumptions!$F$16,0)*2</f>
        <v>0</v>
      </c>
      <c r="J60" s="179">
        <f>ROUNDUP(J62/Assumptions!$F$16,0)*2</f>
        <v>4706</v>
      </c>
      <c r="K60" s="179">
        <f>ROUNDUP(K62/Assumptions!$F$16,0)*2</f>
        <v>7060</v>
      </c>
      <c r="L60" s="179">
        <f>ROUNDUP(L62/Assumptions!$F$16,0)*2</f>
        <v>7060</v>
      </c>
      <c r="M60" s="179">
        <f>ROUNDUP(M62/Assumptions!$F$16,0)*2</f>
        <v>8236</v>
      </c>
      <c r="N60" s="179">
        <f>ROUNDUP(N62/Assumptions!$F$16,0)*2</f>
        <v>7060</v>
      </c>
      <c r="O60" s="179">
        <f>ROUNDUP(O62/Assumptions!$F$16,0)*2</f>
        <v>7060</v>
      </c>
      <c r="P60" s="179">
        <f>ROUNDUP(P62/Assumptions!$F$16,0)*2</f>
        <v>7060</v>
      </c>
      <c r="Q60" s="180">
        <f>ROUNDUP(Q62/Assumptions!$F$16,0)*2</f>
        <v>7060</v>
      </c>
    </row>
    <row r="61" spans="2:17" x14ac:dyDescent="0.2">
      <c r="B61" s="10" t="s">
        <v>58</v>
      </c>
      <c r="C61" s="10"/>
      <c r="D61" s="10"/>
      <c r="E61" s="178">
        <f>(E62*Assumptions!$F$15)/1000</f>
        <v>0</v>
      </c>
      <c r="F61" s="179">
        <f>(F62*Assumptions!$F$15)/1000</f>
        <v>0</v>
      </c>
      <c r="G61" s="179">
        <f>(G62*Assumptions!$F$15)/1000</f>
        <v>0</v>
      </c>
      <c r="H61" s="179">
        <f>(H62*Assumptions!$F$15)/1000</f>
        <v>0</v>
      </c>
      <c r="I61" s="179">
        <f>(I62*Assumptions!$F$15)/1000</f>
        <v>0</v>
      </c>
      <c r="J61" s="179">
        <f>(J62*Assumptions!$F$15)/1000</f>
        <v>3400000</v>
      </c>
      <c r="K61" s="179">
        <f>(K62*Assumptions!$F$15)/1000</f>
        <v>5100000</v>
      </c>
      <c r="L61" s="179">
        <f>(L62*Assumptions!$F$15)/1000</f>
        <v>5100000</v>
      </c>
      <c r="M61" s="179">
        <f>(M62*Assumptions!$F$15)/1000</f>
        <v>5950000</v>
      </c>
      <c r="N61" s="179">
        <f>(N62*Assumptions!$F$15)/1000</f>
        <v>5100000</v>
      </c>
      <c r="O61" s="179">
        <f>(O62*Assumptions!$F$15)/1000</f>
        <v>5100000</v>
      </c>
      <c r="P61" s="179">
        <f>(P62*Assumptions!$F$15)/1000</f>
        <v>5100000</v>
      </c>
      <c r="Q61" s="180">
        <f>(Q62*Assumptions!$F$15)/1000</f>
        <v>5100000</v>
      </c>
    </row>
    <row r="62" spans="2:17" x14ac:dyDescent="0.2">
      <c r="B62" s="10" t="s">
        <v>59</v>
      </c>
      <c r="C62" s="10"/>
      <c r="D62" s="10"/>
      <c r="E62" s="125">
        <f>Assumptions!E38</f>
        <v>0</v>
      </c>
      <c r="F62" s="125">
        <f>Assumptions!F38</f>
        <v>0</v>
      </c>
      <c r="G62" s="125">
        <f>Assumptions!G38</f>
        <v>0</v>
      </c>
      <c r="H62" s="125">
        <f>Assumptions!H38</f>
        <v>0</v>
      </c>
      <c r="I62" s="125">
        <f>Assumptions!I38</f>
        <v>0</v>
      </c>
      <c r="J62" s="125">
        <f>Assumptions!J38</f>
        <v>20000000</v>
      </c>
      <c r="K62" s="125">
        <f>Assumptions!K38</f>
        <v>30000000</v>
      </c>
      <c r="L62" s="125">
        <f>Assumptions!L38</f>
        <v>30000000</v>
      </c>
      <c r="M62" s="200">
        <v>35000000</v>
      </c>
      <c r="N62" s="125">
        <f>Assumptions!N38</f>
        <v>30000000</v>
      </c>
      <c r="O62" s="125">
        <f>Assumptions!O38</f>
        <v>30000000</v>
      </c>
      <c r="P62" s="125">
        <f>Assumptions!P38</f>
        <v>30000000</v>
      </c>
      <c r="Q62" s="125">
        <f>Assumptions!Q38</f>
        <v>30000000</v>
      </c>
    </row>
    <row r="64" spans="2:17" x14ac:dyDescent="0.2">
      <c r="B64" s="10" t="s">
        <v>60</v>
      </c>
      <c r="C64" s="10"/>
      <c r="D64" s="10"/>
      <c r="E64" s="181">
        <f>SUM(E49,E54,E59)</f>
        <v>34546500</v>
      </c>
      <c r="F64" s="182">
        <f t="shared" ref="F64:Q64" si="8">SUM(F49,F54,F59)</f>
        <v>34546500</v>
      </c>
      <c r="G64" s="182">
        <f t="shared" si="8"/>
        <v>35737200</v>
      </c>
      <c r="H64" s="182">
        <f t="shared" si="8"/>
        <v>35737200</v>
      </c>
      <c r="I64" s="182">
        <f t="shared" si="8"/>
        <v>35737200</v>
      </c>
      <c r="J64" s="182">
        <f t="shared" si="8"/>
        <v>41137335</v>
      </c>
      <c r="K64" s="182">
        <f t="shared" si="8"/>
        <v>43838550</v>
      </c>
      <c r="L64" s="182">
        <f t="shared" si="8"/>
        <v>43838550</v>
      </c>
      <c r="M64" s="182">
        <f t="shared" si="8"/>
        <v>46378710</v>
      </c>
      <c r="N64" s="182">
        <f t="shared" si="8"/>
        <v>43838550</v>
      </c>
      <c r="O64" s="182">
        <f t="shared" si="8"/>
        <v>43838550</v>
      </c>
      <c r="P64" s="182">
        <f t="shared" si="8"/>
        <v>43838550</v>
      </c>
      <c r="Q64" s="183">
        <f t="shared" si="8"/>
        <v>43838550</v>
      </c>
    </row>
    <row r="65" spans="2:19" x14ac:dyDescent="0.2">
      <c r="B65" s="10" t="s">
        <v>61</v>
      </c>
      <c r="C65" s="10"/>
      <c r="D65" s="10"/>
      <c r="E65" s="184">
        <f t="shared" ref="E65:Q65" si="9">SUM(E50,E55,E60)</f>
        <v>20002</v>
      </c>
      <c r="F65" s="185">
        <f t="shared" si="9"/>
        <v>20002</v>
      </c>
      <c r="G65" s="185">
        <f t="shared" si="9"/>
        <v>21178</v>
      </c>
      <c r="H65" s="185">
        <f t="shared" si="9"/>
        <v>21178</v>
      </c>
      <c r="I65" s="185">
        <f t="shared" si="9"/>
        <v>21178</v>
      </c>
      <c r="J65" s="185">
        <f t="shared" si="9"/>
        <v>25884</v>
      </c>
      <c r="K65" s="185">
        <f t="shared" si="9"/>
        <v>28238</v>
      </c>
      <c r="L65" s="185">
        <f t="shared" si="9"/>
        <v>28238</v>
      </c>
      <c r="M65" s="185">
        <f t="shared" si="9"/>
        <v>30590</v>
      </c>
      <c r="N65" s="185">
        <f t="shared" si="9"/>
        <v>28238</v>
      </c>
      <c r="O65" s="185">
        <f t="shared" si="9"/>
        <v>28238</v>
      </c>
      <c r="P65" s="185">
        <f t="shared" si="9"/>
        <v>28238</v>
      </c>
      <c r="Q65" s="186">
        <f t="shared" si="9"/>
        <v>28238</v>
      </c>
    </row>
    <row r="66" spans="2:19" x14ac:dyDescent="0.2">
      <c r="B66" s="10" t="s">
        <v>62</v>
      </c>
      <c r="C66" s="10"/>
      <c r="D66" s="10"/>
      <c r="E66" s="184">
        <f t="shared" ref="E66:Q66" si="10">SUM(E51,E56,E61)</f>
        <v>21750000</v>
      </c>
      <c r="F66" s="185">
        <f t="shared" si="10"/>
        <v>21750000</v>
      </c>
      <c r="G66" s="185">
        <f t="shared" si="10"/>
        <v>22500000</v>
      </c>
      <c r="H66" s="185">
        <f t="shared" si="10"/>
        <v>22500000</v>
      </c>
      <c r="I66" s="185">
        <f t="shared" si="10"/>
        <v>22500000</v>
      </c>
      <c r="J66" s="185">
        <f t="shared" si="10"/>
        <v>25900000</v>
      </c>
      <c r="K66" s="185">
        <f t="shared" si="10"/>
        <v>27600000</v>
      </c>
      <c r="L66" s="185">
        <f t="shared" si="10"/>
        <v>27600000</v>
      </c>
      <c r="M66" s="185">
        <f t="shared" si="10"/>
        <v>29200000</v>
      </c>
      <c r="N66" s="185">
        <f t="shared" si="10"/>
        <v>27600000</v>
      </c>
      <c r="O66" s="185">
        <f t="shared" si="10"/>
        <v>27600000</v>
      </c>
      <c r="P66" s="185">
        <f t="shared" si="10"/>
        <v>27600000</v>
      </c>
      <c r="Q66" s="186">
        <f t="shared" si="10"/>
        <v>27600000</v>
      </c>
    </row>
    <row r="67" spans="2:19" x14ac:dyDescent="0.2">
      <c r="B67" s="10" t="s">
        <v>63</v>
      </c>
      <c r="C67" s="10"/>
      <c r="D67" s="10"/>
      <c r="E67" s="187">
        <f t="shared" ref="E67:Q67" si="11">SUM(E52,E57,E62)</f>
        <v>85000000</v>
      </c>
      <c r="F67" s="188">
        <f t="shared" si="11"/>
        <v>85000000</v>
      </c>
      <c r="G67" s="188">
        <f t="shared" si="11"/>
        <v>90000000</v>
      </c>
      <c r="H67" s="188">
        <f t="shared" si="11"/>
        <v>90000000</v>
      </c>
      <c r="I67" s="188">
        <f t="shared" si="11"/>
        <v>90000000</v>
      </c>
      <c r="J67" s="188">
        <f t="shared" si="11"/>
        <v>110000000</v>
      </c>
      <c r="K67" s="188">
        <f t="shared" si="11"/>
        <v>120000000</v>
      </c>
      <c r="L67" s="188">
        <f t="shared" si="11"/>
        <v>120000000</v>
      </c>
      <c r="M67" s="188">
        <f t="shared" si="11"/>
        <v>130000000</v>
      </c>
      <c r="N67" s="188">
        <f t="shared" si="11"/>
        <v>120000000</v>
      </c>
      <c r="O67" s="188">
        <f t="shared" si="11"/>
        <v>120000000</v>
      </c>
      <c r="P67" s="188">
        <f t="shared" si="11"/>
        <v>120000000</v>
      </c>
      <c r="Q67" s="189">
        <f t="shared" si="11"/>
        <v>120000000</v>
      </c>
    </row>
    <row r="69" spans="2:19" x14ac:dyDescent="0.2">
      <c r="B69" s="11" t="s">
        <v>80</v>
      </c>
      <c r="C69" s="11"/>
      <c r="D69" s="11"/>
      <c r="E69" s="3" t="s">
        <v>12</v>
      </c>
      <c r="F69" s="3" t="s">
        <v>13</v>
      </c>
      <c r="G69" s="3" t="s">
        <v>14</v>
      </c>
      <c r="H69" s="3" t="s">
        <v>15</v>
      </c>
      <c r="I69" s="3" t="s">
        <v>16</v>
      </c>
      <c r="J69" s="3" t="s">
        <v>17</v>
      </c>
      <c r="K69" s="3" t="s">
        <v>18</v>
      </c>
      <c r="L69" s="3" t="s">
        <v>19</v>
      </c>
      <c r="M69" s="77" t="s">
        <v>20</v>
      </c>
      <c r="N69" s="3" t="s">
        <v>21</v>
      </c>
      <c r="O69" s="3" t="s">
        <v>22</v>
      </c>
      <c r="P69" s="3" t="s">
        <v>23</v>
      </c>
      <c r="Q69" s="3" t="s">
        <v>24</v>
      </c>
    </row>
    <row r="70" spans="2:19" x14ac:dyDescent="0.2">
      <c r="B70" s="18" t="s">
        <v>32</v>
      </c>
      <c r="C70" s="18"/>
      <c r="D70" s="18"/>
      <c r="E70" s="175">
        <f>(E64*E41)/1000</f>
        <v>17273.25</v>
      </c>
      <c r="F70" s="176">
        <f t="shared" ref="F70:Q70" si="12">(F64*F41)/1000</f>
        <v>17877.813750000001</v>
      </c>
      <c r="G70" s="176">
        <f t="shared" si="12"/>
        <v>19141.291034999995</v>
      </c>
      <c r="H70" s="176">
        <f t="shared" si="12"/>
        <v>19811.236221224997</v>
      </c>
      <c r="I70" s="176">
        <f t="shared" si="12"/>
        <v>20504.629488967868</v>
      </c>
      <c r="J70" s="176">
        <f t="shared" si="12"/>
        <v>24429.124715153932</v>
      </c>
      <c r="K70" s="176">
        <f t="shared" si="12"/>
        <v>26944.385543360168</v>
      </c>
      <c r="L70" s="176">
        <f t="shared" si="12"/>
        <v>27887.439037377771</v>
      </c>
      <c r="M70" s="176">
        <f t="shared" si="12"/>
        <v>30535.952225352474</v>
      </c>
      <c r="N70" s="176">
        <f t="shared" si="12"/>
        <v>29873.721882815</v>
      </c>
      <c r="O70" s="176">
        <f t="shared" si="12"/>
        <v>30919.302148713523</v>
      </c>
      <c r="P70" s="176">
        <f t="shared" si="12"/>
        <v>32001.477723918491</v>
      </c>
      <c r="Q70" s="177">
        <f t="shared" si="12"/>
        <v>33121.529444255641</v>
      </c>
    </row>
    <row r="71" spans="2:19" x14ac:dyDescent="0.2">
      <c r="B71" s="18" t="s">
        <v>33</v>
      </c>
      <c r="C71" s="18"/>
      <c r="D71" s="18"/>
      <c r="E71" s="178">
        <f>(E65*E42)/1000</f>
        <v>50005</v>
      </c>
      <c r="F71" s="179">
        <f t="shared" ref="F71:Q71" si="13">(F65*F42)/1000</f>
        <v>51255.125</v>
      </c>
      <c r="G71" s="179">
        <f t="shared" si="13"/>
        <v>55625.34062499999</v>
      </c>
      <c r="H71" s="179">
        <f t="shared" si="13"/>
        <v>57015.974140624974</v>
      </c>
      <c r="I71" s="179">
        <f t="shared" si="13"/>
        <v>58441.373494140593</v>
      </c>
      <c r="J71" s="179">
        <f t="shared" si="13"/>
        <v>73213.425456152312</v>
      </c>
      <c r="K71" s="179">
        <f t="shared" si="13"/>
        <v>81868.556858738972</v>
      </c>
      <c r="L71" s="179">
        <f t="shared" si="13"/>
        <v>83915.270780207429</v>
      </c>
      <c r="M71" s="179">
        <f t="shared" si="13"/>
        <v>93177.361587070933</v>
      </c>
      <c r="N71" s="179">
        <f t="shared" si="13"/>
        <v>88163.481363455416</v>
      </c>
      <c r="O71" s="179">
        <f t="shared" si="13"/>
        <v>90367.568397541792</v>
      </c>
      <c r="P71" s="179">
        <f t="shared" si="13"/>
        <v>92626.757607480336</v>
      </c>
      <c r="Q71" s="180">
        <f t="shared" si="13"/>
        <v>94942.426547667332</v>
      </c>
    </row>
    <row r="72" spans="2:19" x14ac:dyDescent="0.2">
      <c r="B72" s="18" t="s">
        <v>34</v>
      </c>
      <c r="C72" s="18"/>
      <c r="D72" s="18"/>
      <c r="E72" s="178">
        <f>(E66*E43)/1000</f>
        <v>58597.875000000007</v>
      </c>
      <c r="F72" s="179">
        <f t="shared" ref="F72:Q72" si="14">(F66*F43)/1000</f>
        <v>65700.647433333332</v>
      </c>
      <c r="G72" s="179">
        <f t="shared" si="14"/>
        <v>68324.684170000008</v>
      </c>
      <c r="H72" s="179">
        <f t="shared" si="14"/>
        <v>73977.467000710327</v>
      </c>
      <c r="I72" s="179">
        <f t="shared" si="14"/>
        <v>67184.998508445773</v>
      </c>
      <c r="J72" s="179">
        <f t="shared" si="14"/>
        <v>71496.22491434688</v>
      </c>
      <c r="K72" s="179">
        <f t="shared" si="14"/>
        <v>76960.528798950429</v>
      </c>
      <c r="L72" s="179">
        <f t="shared" si="14"/>
        <v>77524.645091207407</v>
      </c>
      <c r="M72" s="179">
        <f t="shared" si="14"/>
        <v>78972.430488419588</v>
      </c>
      <c r="N72" s="179">
        <f t="shared" si="14"/>
        <v>75087.898376864789</v>
      </c>
      <c r="O72" s="179">
        <f t="shared" si="14"/>
        <v>65156.280264200206</v>
      </c>
      <c r="P72" s="179">
        <f t="shared" si="14"/>
        <v>76566.882334300579</v>
      </c>
      <c r="Q72" s="180">
        <f t="shared" si="14"/>
        <v>73885.522004038517</v>
      </c>
    </row>
    <row r="73" spans="2:19" x14ac:dyDescent="0.2">
      <c r="B73" s="18" t="s">
        <v>35</v>
      </c>
      <c r="C73" s="18"/>
      <c r="D73" s="18"/>
      <c r="E73" s="178">
        <f>(E67*E44)/1000</f>
        <v>58597.875</v>
      </c>
      <c r="F73" s="179">
        <f t="shared" ref="F73:Q73" si="15">(F67*F44)/1000</f>
        <v>64190.287722222223</v>
      </c>
      <c r="G73" s="179">
        <f t="shared" si="15"/>
        <v>68324.684170000008</v>
      </c>
      <c r="H73" s="179">
        <f t="shared" si="15"/>
        <v>73977.467000710327</v>
      </c>
      <c r="I73" s="179">
        <f t="shared" si="15"/>
        <v>67184.998508445773</v>
      </c>
      <c r="J73" s="179">
        <f t="shared" si="15"/>
        <v>71496.22491434688</v>
      </c>
      <c r="K73" s="179">
        <f t="shared" si="15"/>
        <v>76960.528798950429</v>
      </c>
      <c r="L73" s="179">
        <f t="shared" si="15"/>
        <v>77524.645091207407</v>
      </c>
      <c r="M73" s="179">
        <f t="shared" si="15"/>
        <v>80865.605191909111</v>
      </c>
      <c r="N73" s="179">
        <f t="shared" si="15"/>
        <v>75087.898376864789</v>
      </c>
      <c r="O73" s="179">
        <f t="shared" si="15"/>
        <v>65156.280264200213</v>
      </c>
      <c r="P73" s="179">
        <f t="shared" si="15"/>
        <v>76566.882334300579</v>
      </c>
      <c r="Q73" s="180">
        <f t="shared" si="15"/>
        <v>73885.522004038517</v>
      </c>
    </row>
    <row r="74" spans="2:19" x14ac:dyDescent="0.2">
      <c r="B74" s="11" t="s">
        <v>82</v>
      </c>
      <c r="C74" s="11"/>
      <c r="D74" s="11"/>
      <c r="E74" s="31">
        <f>SUM(E70:E73)</f>
        <v>184474</v>
      </c>
      <c r="F74" s="32">
        <f t="shared" ref="F74:Q74" si="16">SUM(F70:F73)</f>
        <v>199023.87390555555</v>
      </c>
      <c r="G74" s="32">
        <f t="shared" si="16"/>
        <v>211416</v>
      </c>
      <c r="H74" s="32">
        <f t="shared" si="16"/>
        <v>224782.14436327061</v>
      </c>
      <c r="I74" s="32">
        <f t="shared" si="16"/>
        <v>213316</v>
      </c>
      <c r="J74" s="32">
        <f t="shared" si="16"/>
        <v>240635</v>
      </c>
      <c r="K74" s="32">
        <f t="shared" si="16"/>
        <v>262734</v>
      </c>
      <c r="L74" s="32">
        <f t="shared" si="16"/>
        <v>266852</v>
      </c>
      <c r="M74" s="91">
        <f t="shared" si="16"/>
        <v>283551.34949275211</v>
      </c>
      <c r="N74" s="32">
        <f t="shared" si="16"/>
        <v>268213</v>
      </c>
      <c r="O74" s="32">
        <f t="shared" si="16"/>
        <v>251599.43107465573</v>
      </c>
      <c r="P74" s="32">
        <f t="shared" si="16"/>
        <v>277762</v>
      </c>
      <c r="Q74" s="33">
        <f t="shared" si="16"/>
        <v>275835</v>
      </c>
    </row>
    <row r="75" spans="2:19" x14ac:dyDescent="0.2">
      <c r="F75" s="14"/>
    </row>
    <row r="76" spans="2:19" x14ac:dyDescent="0.2">
      <c r="B76" s="11" t="s">
        <v>131</v>
      </c>
      <c r="C76" s="11"/>
      <c r="D76" s="11"/>
      <c r="E76" s="225">
        <f>SUM(E71:E73)</f>
        <v>167200.75</v>
      </c>
      <c r="F76" s="226">
        <f t="shared" ref="F76:Q76" si="17">SUM(F71:F73)</f>
        <v>181146.06015555555</v>
      </c>
      <c r="G76" s="226">
        <f t="shared" si="17"/>
        <v>192274.708965</v>
      </c>
      <c r="H76" s="226">
        <f t="shared" si="17"/>
        <v>204970.90814204561</v>
      </c>
      <c r="I76" s="226">
        <f t="shared" si="17"/>
        <v>192811.37051103215</v>
      </c>
      <c r="J76" s="226">
        <f t="shared" si="17"/>
        <v>216205.87528484606</v>
      </c>
      <c r="K76" s="226">
        <f t="shared" si="17"/>
        <v>235789.61445663983</v>
      </c>
      <c r="L76" s="226">
        <f t="shared" si="17"/>
        <v>238964.56096262223</v>
      </c>
      <c r="M76" s="226">
        <f t="shared" si="17"/>
        <v>253015.39726739965</v>
      </c>
      <c r="N76" s="226">
        <f t="shared" si="17"/>
        <v>238339.27811718499</v>
      </c>
      <c r="O76" s="226">
        <f t="shared" si="17"/>
        <v>220680.1289259422</v>
      </c>
      <c r="P76" s="226">
        <f t="shared" si="17"/>
        <v>245760.52227608149</v>
      </c>
      <c r="Q76" s="227">
        <f t="shared" si="17"/>
        <v>242713.47055574437</v>
      </c>
    </row>
    <row r="77" spans="2:19" x14ac:dyDescent="0.2">
      <c r="B77" s="204" t="s">
        <v>134</v>
      </c>
      <c r="C77" s="204"/>
      <c r="D77" s="204"/>
      <c r="E77" s="220">
        <f>SUM(E71:E73)-(SUM(E4:E6)+E78)</f>
        <v>0</v>
      </c>
      <c r="F77" s="221">
        <f t="shared" ref="F77:J77" si="18">SUM(F71:F73)-(SUM(F4:F6)+F78)</f>
        <v>-9054.938844444463</v>
      </c>
      <c r="G77" s="221">
        <f t="shared" si="18"/>
        <v>0</v>
      </c>
      <c r="H77" s="221">
        <f t="shared" si="18"/>
        <v>0</v>
      </c>
      <c r="I77" s="221">
        <f t="shared" si="18"/>
        <v>0</v>
      </c>
      <c r="J77" s="221">
        <f t="shared" si="18"/>
        <v>0</v>
      </c>
      <c r="K77" s="221">
        <f t="shared" ref="K77" si="19">SUM(K71:K73)-(SUM(K4:K6)+K78)</f>
        <v>0</v>
      </c>
      <c r="L77" s="221">
        <f t="shared" ref="L77" si="20">SUM(L71:L73)-(SUM(L4:L6)+L78)</f>
        <v>0</v>
      </c>
      <c r="M77" s="221">
        <f t="shared" ref="M77" si="21">SUM(M71:M73)-(SUM(M4:M6)+M78)</f>
        <v>17711.896671085618</v>
      </c>
      <c r="N77" s="221">
        <f t="shared" ref="N77:O77" si="22">SUM(N71:N73)-(SUM(N4:N6)+N78)</f>
        <v>0</v>
      </c>
      <c r="O77" s="221">
        <f t="shared" si="22"/>
        <v>0</v>
      </c>
      <c r="P77" s="221">
        <f t="shared" ref="P77" si="23">SUM(P71:P73)-(SUM(P4:P6)+P78)</f>
        <v>0</v>
      </c>
      <c r="Q77" s="222">
        <f t="shared" ref="Q77" si="24">SUM(Q71:Q73)-(SUM(Q4:Q6)+Q78)</f>
        <v>0</v>
      </c>
      <c r="S77" s="167"/>
    </row>
    <row r="78" spans="2:19" x14ac:dyDescent="0.2">
      <c r="B78" s="204" t="s">
        <v>135</v>
      </c>
      <c r="C78" s="204"/>
      <c r="D78" s="204"/>
      <c r="E78" s="228"/>
      <c r="F78" s="229"/>
      <c r="G78" s="223">
        <f>-E77*(1+Assumptions!$D$3)^2</f>
        <v>0</v>
      </c>
      <c r="H78" s="223">
        <f>-F77*(1+Assumptions!$D$3)^2</f>
        <v>10596.144363270614</v>
      </c>
      <c r="I78" s="223">
        <f>-G77*(1+Assumptions!$D$3)^2</f>
        <v>0</v>
      </c>
      <c r="J78" s="223">
        <f>-H77*(1+Assumptions!$D$3)^2</f>
        <v>0</v>
      </c>
      <c r="K78" s="223">
        <f>-I77*(1+Assumptions!$D$3)^2</f>
        <v>0</v>
      </c>
      <c r="L78" s="223">
        <f>-J77*(1+Assumptions!$D$3)^2</f>
        <v>0</v>
      </c>
      <c r="M78" s="223">
        <f>-K77*(1+Assumptions!$D$3)^2</f>
        <v>0</v>
      </c>
      <c r="N78" s="223">
        <f>-L77*(1+Assumptions!$D$3)^2</f>
        <v>0</v>
      </c>
      <c r="O78" s="223">
        <f>-M77*(1+Assumptions!$D$3)^2</f>
        <v>-20726.56892534428</v>
      </c>
      <c r="P78" s="223">
        <f>-N77*(1+Assumptions!$D$3)^2</f>
        <v>0</v>
      </c>
      <c r="Q78" s="224">
        <f>-O77*(1+Assumptions!$D$3)^2</f>
        <v>0</v>
      </c>
      <c r="S78" s="167"/>
    </row>
    <row r="79" spans="2:19" x14ac:dyDescent="0.2">
      <c r="F79" s="14"/>
    </row>
    <row r="80" spans="2:19" x14ac:dyDescent="0.2">
      <c r="B80" s="11" t="s">
        <v>94</v>
      </c>
      <c r="C80" s="11"/>
      <c r="D80" s="11"/>
      <c r="E80" s="3" t="s">
        <v>12</v>
      </c>
      <c r="F80" s="3" t="s">
        <v>13</v>
      </c>
      <c r="G80" s="3" t="s">
        <v>14</v>
      </c>
      <c r="H80" s="3" t="s">
        <v>15</v>
      </c>
      <c r="I80" s="3" t="s">
        <v>16</v>
      </c>
      <c r="J80" s="3" t="s">
        <v>17</v>
      </c>
      <c r="K80" s="3" t="s">
        <v>18</v>
      </c>
      <c r="L80" s="3" t="s">
        <v>19</v>
      </c>
      <c r="M80" s="77" t="s">
        <v>20</v>
      </c>
      <c r="N80" s="3" t="s">
        <v>21</v>
      </c>
      <c r="O80" s="3" t="s">
        <v>22</v>
      </c>
      <c r="P80" s="3" t="s">
        <v>23</v>
      </c>
      <c r="Q80" s="3" t="s">
        <v>24</v>
      </c>
    </row>
    <row r="81" spans="2:19" x14ac:dyDescent="0.2">
      <c r="B81" s="10" t="s">
        <v>66</v>
      </c>
      <c r="C81" s="10"/>
      <c r="D81" s="10"/>
      <c r="E81" s="173">
        <f>Baseline!E9</f>
        <v>124478.790266935</v>
      </c>
      <c r="F81" s="174">
        <f>Baseline!F9</f>
        <v>125929.29539296908</v>
      </c>
      <c r="G81" s="174">
        <f>Baseline!G9</f>
        <v>127415.35588325732</v>
      </c>
      <c r="H81" s="174">
        <f>Baseline!H9</f>
        <v>128940.21821740354</v>
      </c>
      <c r="I81" s="174">
        <f>Baseline!I9</f>
        <v>130075.5496746139</v>
      </c>
      <c r="J81" s="174">
        <f>Baseline!J9</f>
        <v>131563.88144351507</v>
      </c>
      <c r="K81" s="174">
        <f>Baseline!K9</f>
        <v>133089.01927238036</v>
      </c>
      <c r="L81" s="174">
        <f>Baseline!L9</f>
        <v>134655.15653049384</v>
      </c>
      <c r="M81" s="174">
        <f>Baseline!M9</f>
        <v>135341.01980721654</v>
      </c>
      <c r="N81" s="174">
        <f>Baseline!N9</f>
        <v>136860.60634046869</v>
      </c>
      <c r="O81" s="174">
        <f>Baseline!O9</f>
        <v>138420.17678424151</v>
      </c>
      <c r="P81" s="174">
        <f>Baseline!P9</f>
        <v>140025.07201368126</v>
      </c>
      <c r="Q81" s="190">
        <f>Baseline!Q9</f>
        <v>139462.15668618664</v>
      </c>
    </row>
    <row r="82" spans="2:19" x14ac:dyDescent="0.2">
      <c r="B82" s="10" t="s">
        <v>67</v>
      </c>
      <c r="C82" s="10"/>
      <c r="D82" s="10"/>
      <c r="E82" s="155">
        <f>Baseline!E10</f>
        <v>24558.065524682825</v>
      </c>
      <c r="F82" s="156">
        <f>Baseline!F10</f>
        <v>44112.167268795369</v>
      </c>
      <c r="G82" s="156">
        <f>Baseline!G10</f>
        <v>44139.916550854017</v>
      </c>
      <c r="H82" s="156">
        <f>Baseline!H10</f>
        <v>44141.483192472588</v>
      </c>
      <c r="I82" s="156">
        <f>Baseline!I10</f>
        <v>40852.105504689527</v>
      </c>
      <c r="J82" s="156">
        <f>Baseline!J10</f>
        <v>40900.926246350136</v>
      </c>
      <c r="K82" s="156">
        <f>Baseline!K10</f>
        <v>42875.856280882952</v>
      </c>
      <c r="L82" s="156">
        <f>Baseline!L10</f>
        <v>43497.126314392088</v>
      </c>
      <c r="M82" s="156">
        <f>Baseline!M10</f>
        <v>39995.71122675731</v>
      </c>
      <c r="N82" s="156">
        <f>Baseline!N10</f>
        <v>40440.506456885669</v>
      </c>
      <c r="O82" s="156">
        <f>Baseline!O10</f>
        <v>40842.025608859309</v>
      </c>
      <c r="P82" s="156">
        <f>Baseline!P10</f>
        <v>41200.528116427959</v>
      </c>
      <c r="Q82" s="157">
        <f>Baseline!Q10</f>
        <v>39548.677637751425</v>
      </c>
    </row>
    <row r="83" spans="2:19" x14ac:dyDescent="0.2">
      <c r="B83" s="10" t="s">
        <v>68</v>
      </c>
      <c r="C83" s="10"/>
      <c r="D83" s="10"/>
      <c r="E83" s="155">
        <f>Baseline!E11</f>
        <v>0</v>
      </c>
      <c r="F83" s="156">
        <f>Baseline!F11</f>
        <v>0</v>
      </c>
      <c r="G83" s="156">
        <f>Baseline!G11</f>
        <v>0</v>
      </c>
      <c r="H83" s="156">
        <f>Baseline!H11</f>
        <v>0</v>
      </c>
      <c r="I83" s="156">
        <f>Baseline!I11</f>
        <v>0</v>
      </c>
      <c r="J83" s="156">
        <f>Baseline!J11</f>
        <v>13643.369735934903</v>
      </c>
      <c r="K83" s="156">
        <f>Baseline!K11</f>
        <v>24964.251142229208</v>
      </c>
      <c r="L83" s="156">
        <f>Baseline!L11</f>
        <v>24965.137189097255</v>
      </c>
      <c r="M83" s="156">
        <f>Baseline!M11</f>
        <v>23104.760978262013</v>
      </c>
      <c r="N83" s="156">
        <f>Baseline!N11</f>
        <v>23132.372567748389</v>
      </c>
      <c r="O83" s="156">
        <f>Baseline!O11</f>
        <v>23163.805604731708</v>
      </c>
      <c r="P83" s="156">
        <f>Baseline!P11</f>
        <v>24447.432890815518</v>
      </c>
      <c r="Q83" s="157">
        <f>Baseline!Q11</f>
        <v>22477.352823693469</v>
      </c>
      <c r="S83" s="167"/>
    </row>
    <row r="84" spans="2:19" x14ac:dyDescent="0.2">
      <c r="B84" s="11" t="s">
        <v>45</v>
      </c>
      <c r="C84" s="11"/>
      <c r="D84" s="11"/>
      <c r="E84" s="31">
        <f>SUM(E81:E83)</f>
        <v>149036.85579161783</v>
      </c>
      <c r="F84" s="32">
        <f t="shared" ref="F84:Q84" si="25">SUM(F81:F83)</f>
        <v>170041.46266176447</v>
      </c>
      <c r="G84" s="32">
        <f t="shared" si="25"/>
        <v>171555.27243411134</v>
      </c>
      <c r="H84" s="32">
        <f t="shared" si="25"/>
        <v>173081.70140987611</v>
      </c>
      <c r="I84" s="32">
        <f t="shared" si="25"/>
        <v>170927.65517930343</v>
      </c>
      <c r="J84" s="32">
        <f t="shared" si="25"/>
        <v>186108.17742580012</v>
      </c>
      <c r="K84" s="32">
        <f t="shared" si="25"/>
        <v>200929.12669549254</v>
      </c>
      <c r="L84" s="32">
        <f t="shared" si="25"/>
        <v>203117.42003398319</v>
      </c>
      <c r="M84" s="91">
        <f t="shared" si="25"/>
        <v>198441.49201223586</v>
      </c>
      <c r="N84" s="32">
        <f t="shared" si="25"/>
        <v>200433.48536510274</v>
      </c>
      <c r="O84" s="32">
        <f t="shared" si="25"/>
        <v>202426.00799783255</v>
      </c>
      <c r="P84" s="32">
        <f t="shared" si="25"/>
        <v>205673.03302092475</v>
      </c>
      <c r="Q84" s="33">
        <f t="shared" si="25"/>
        <v>201488.18714763154</v>
      </c>
    </row>
    <row r="86" spans="2:19" x14ac:dyDescent="0.2">
      <c r="B86" s="76" t="s">
        <v>95</v>
      </c>
      <c r="C86" s="76"/>
      <c r="D86" s="76"/>
      <c r="E86" s="77" t="s">
        <v>12</v>
      </c>
      <c r="F86" s="77" t="s">
        <v>13</v>
      </c>
      <c r="G86" s="77" t="s">
        <v>14</v>
      </c>
      <c r="H86" s="77" t="s">
        <v>15</v>
      </c>
      <c r="I86" s="77" t="s">
        <v>16</v>
      </c>
      <c r="J86" s="77" t="s">
        <v>17</v>
      </c>
      <c r="K86" s="77" t="s">
        <v>18</v>
      </c>
      <c r="L86" s="77" t="s">
        <v>19</v>
      </c>
      <c r="M86" s="77" t="s">
        <v>20</v>
      </c>
      <c r="N86" s="77" t="s">
        <v>21</v>
      </c>
      <c r="O86" s="77" t="s">
        <v>22</v>
      </c>
      <c r="P86" s="77" t="s">
        <v>23</v>
      </c>
      <c r="Q86" s="77" t="s">
        <v>24</v>
      </c>
    </row>
    <row r="87" spans="2:19" x14ac:dyDescent="0.2">
      <c r="B87" s="78" t="s">
        <v>66</v>
      </c>
      <c r="C87" s="78"/>
      <c r="D87" s="78"/>
      <c r="E87" s="217">
        <f>E81/E$84</f>
        <v>0.83522152695558927</v>
      </c>
      <c r="F87" s="218">
        <f t="shared" ref="F87:Q87" si="26">F81/F$84</f>
        <v>0.74057993516239939</v>
      </c>
      <c r="G87" s="218">
        <f t="shared" si="26"/>
        <v>0.74270731569729698</v>
      </c>
      <c r="H87" s="218">
        <f t="shared" si="26"/>
        <v>0.74496736031071942</v>
      </c>
      <c r="I87" s="218">
        <f t="shared" si="26"/>
        <v>0.76099768371691756</v>
      </c>
      <c r="J87" s="218">
        <f t="shared" si="26"/>
        <v>0.70692155102087639</v>
      </c>
      <c r="K87" s="218">
        <f t="shared" si="26"/>
        <v>0.6623679775111766</v>
      </c>
      <c r="L87" s="218">
        <f t="shared" si="26"/>
        <v>0.66294243254943341</v>
      </c>
      <c r="M87" s="218">
        <f t="shared" si="26"/>
        <v>0.68201976529621855</v>
      </c>
      <c r="N87" s="218">
        <f t="shared" si="26"/>
        <v>0.68282306267921311</v>
      </c>
      <c r="O87" s="218">
        <f t="shared" si="26"/>
        <v>0.68380628632326546</v>
      </c>
      <c r="P87" s="218">
        <f t="shared" si="26"/>
        <v>0.68081395969609393</v>
      </c>
      <c r="Q87" s="219">
        <f t="shared" si="26"/>
        <v>0.69216046191334246</v>
      </c>
    </row>
    <row r="88" spans="2:19" x14ac:dyDescent="0.2">
      <c r="B88" s="78" t="s">
        <v>67</v>
      </c>
      <c r="C88" s="78"/>
      <c r="D88" s="78"/>
      <c r="E88" s="240">
        <f t="shared" ref="E88:Q89" si="27">E82/E$84</f>
        <v>0.16477847304441071</v>
      </c>
      <c r="F88" s="241">
        <f t="shared" si="27"/>
        <v>0.25942006483760055</v>
      </c>
      <c r="G88" s="241">
        <f t="shared" si="27"/>
        <v>0.25729268430270302</v>
      </c>
      <c r="H88" s="241">
        <f t="shared" si="27"/>
        <v>0.25503263968928064</v>
      </c>
      <c r="I88" s="241">
        <f t="shared" si="27"/>
        <v>0.23900231628308241</v>
      </c>
      <c r="J88" s="241">
        <f t="shared" si="27"/>
        <v>0.21976963512340567</v>
      </c>
      <c r="K88" s="241">
        <f t="shared" si="27"/>
        <v>0.21338795915766448</v>
      </c>
      <c r="L88" s="241">
        <f t="shared" si="27"/>
        <v>0.214147690075596</v>
      </c>
      <c r="M88" s="241">
        <f t="shared" si="27"/>
        <v>0.20154913582433245</v>
      </c>
      <c r="N88" s="241">
        <f t="shared" si="27"/>
        <v>0.20176522093212437</v>
      </c>
      <c r="O88" s="241">
        <f t="shared" si="27"/>
        <v>0.20176273796446462</v>
      </c>
      <c r="P88" s="241">
        <f t="shared" si="27"/>
        <v>0.20032051606997162</v>
      </c>
      <c r="Q88" s="242">
        <f t="shared" si="27"/>
        <v>0.19628286004069254</v>
      </c>
    </row>
    <row r="89" spans="2:19" x14ac:dyDescent="0.2">
      <c r="B89" s="78" t="s">
        <v>68</v>
      </c>
      <c r="C89" s="78"/>
      <c r="D89" s="78"/>
      <c r="E89" s="240">
        <f t="shared" si="27"/>
        <v>0</v>
      </c>
      <c r="F89" s="241">
        <f t="shared" si="27"/>
        <v>0</v>
      </c>
      <c r="G89" s="241">
        <f t="shared" si="27"/>
        <v>0</v>
      </c>
      <c r="H89" s="241">
        <f t="shared" si="27"/>
        <v>0</v>
      </c>
      <c r="I89" s="241">
        <f t="shared" si="27"/>
        <v>0</v>
      </c>
      <c r="J89" s="241">
        <f t="shared" ref="J89:Q89" si="28">J83/J$84</f>
        <v>7.33088138557179E-2</v>
      </c>
      <c r="K89" s="241">
        <f t="shared" si="28"/>
        <v>0.12424406333115881</v>
      </c>
      <c r="L89" s="241">
        <f t="shared" si="28"/>
        <v>0.12290987737497053</v>
      </c>
      <c r="M89" s="241">
        <f t="shared" si="28"/>
        <v>0.11643109887944895</v>
      </c>
      <c r="N89" s="241">
        <f t="shared" si="28"/>
        <v>0.11541171638866259</v>
      </c>
      <c r="O89" s="241">
        <f t="shared" si="28"/>
        <v>0.11443097571226979</v>
      </c>
      <c r="P89" s="241">
        <f t="shared" si="28"/>
        <v>0.11886552423393439</v>
      </c>
      <c r="Q89" s="242">
        <f t="shared" si="28"/>
        <v>0.11155667804596497</v>
      </c>
      <c r="S89" s="167"/>
    </row>
    <row r="90" spans="2:19" x14ac:dyDescent="0.2">
      <c r="B90" s="76" t="s">
        <v>45</v>
      </c>
      <c r="C90" s="76"/>
      <c r="D90" s="76"/>
      <c r="E90" s="81">
        <f>SUM(E87:E89)</f>
        <v>1</v>
      </c>
      <c r="F90" s="82">
        <f t="shared" ref="F90:Q90" si="29">SUM(F87:F89)</f>
        <v>1</v>
      </c>
      <c r="G90" s="82">
        <f t="shared" si="29"/>
        <v>1</v>
      </c>
      <c r="H90" s="82">
        <f t="shared" si="29"/>
        <v>1</v>
      </c>
      <c r="I90" s="82">
        <f t="shared" si="29"/>
        <v>1</v>
      </c>
      <c r="J90" s="82">
        <f t="shared" si="29"/>
        <v>0.99999999999999989</v>
      </c>
      <c r="K90" s="82">
        <f t="shared" si="29"/>
        <v>0.99999999999999989</v>
      </c>
      <c r="L90" s="82">
        <f t="shared" si="29"/>
        <v>0.99999999999999989</v>
      </c>
      <c r="M90" s="82">
        <f t="shared" si="29"/>
        <v>0.99999999999999989</v>
      </c>
      <c r="N90" s="82">
        <f t="shared" si="29"/>
        <v>1</v>
      </c>
      <c r="O90" s="82">
        <f t="shared" si="29"/>
        <v>0.99999999999999989</v>
      </c>
      <c r="P90" s="82">
        <f t="shared" si="29"/>
        <v>0.99999999999999989</v>
      </c>
      <c r="Q90" s="83">
        <f t="shared" si="29"/>
        <v>1</v>
      </c>
    </row>
    <row r="91" spans="2:19" x14ac:dyDescent="0.2">
      <c r="B91" s="18"/>
      <c r="C91" s="18"/>
      <c r="D91" s="18"/>
      <c r="E91" s="4"/>
      <c r="F91" s="4"/>
      <c r="G91" s="4"/>
      <c r="H91" s="4"/>
      <c r="I91" s="4"/>
      <c r="J91" s="4"/>
      <c r="K91" s="4"/>
      <c r="L91" s="4"/>
      <c r="M91" s="92"/>
      <c r="N91" s="4"/>
      <c r="O91" s="4"/>
      <c r="P91" s="4"/>
      <c r="Q91" s="4"/>
    </row>
    <row r="92" spans="2:19" x14ac:dyDescent="0.2">
      <c r="B92" s="11" t="s">
        <v>97</v>
      </c>
      <c r="C92" s="11"/>
      <c r="D92" s="11"/>
      <c r="E92" s="3" t="s">
        <v>12</v>
      </c>
      <c r="F92" s="3" t="s">
        <v>13</v>
      </c>
      <c r="G92" s="3" t="s">
        <v>14</v>
      </c>
      <c r="H92" s="3" t="s">
        <v>15</v>
      </c>
      <c r="I92" s="3" t="s">
        <v>16</v>
      </c>
      <c r="J92" s="3" t="s">
        <v>17</v>
      </c>
      <c r="K92" s="3" t="s">
        <v>18</v>
      </c>
      <c r="L92" s="3" t="s">
        <v>19</v>
      </c>
      <c r="M92" s="77" t="s">
        <v>20</v>
      </c>
      <c r="N92" s="3" t="s">
        <v>21</v>
      </c>
      <c r="O92" s="3" t="s">
        <v>22</v>
      </c>
      <c r="P92" s="3" t="s">
        <v>23</v>
      </c>
      <c r="Q92" s="3" t="s">
        <v>24</v>
      </c>
    </row>
    <row r="93" spans="2:19" x14ac:dyDescent="0.2">
      <c r="B93" s="10" t="s">
        <v>66</v>
      </c>
      <c r="C93" s="10"/>
      <c r="D93" s="10"/>
      <c r="E93" s="175">
        <f>SUM(E$77*E87,E$78*C87)</f>
        <v>0</v>
      </c>
      <c r="F93" s="176">
        <f>SUM(F$77*F87,F$78*D87)</f>
        <v>-6705.9060223181723</v>
      </c>
      <c r="G93" s="176">
        <f>SUM(G$77*G87,G$78*E87)</f>
        <v>0</v>
      </c>
      <c r="H93" s="176">
        <f t="shared" ref="H93:Q95" si="30">SUM(H$77*H87,H$78*F87)</f>
        <v>7847.2919055223756</v>
      </c>
      <c r="I93" s="176">
        <f t="shared" si="30"/>
        <v>0</v>
      </c>
      <c r="J93" s="176">
        <f t="shared" si="30"/>
        <v>0</v>
      </c>
      <c r="K93" s="176">
        <f t="shared" si="30"/>
        <v>0</v>
      </c>
      <c r="L93" s="176">
        <f t="shared" si="30"/>
        <v>0</v>
      </c>
      <c r="M93" s="176">
        <f t="shared" si="30"/>
        <v>12079.863610564687</v>
      </c>
      <c r="N93" s="176">
        <f t="shared" si="30"/>
        <v>0</v>
      </c>
      <c r="O93" s="176">
        <f t="shared" si="30"/>
        <v>-14135.929673859202</v>
      </c>
      <c r="P93" s="176">
        <f t="shared" si="30"/>
        <v>0</v>
      </c>
      <c r="Q93" s="177">
        <f t="shared" si="30"/>
        <v>0</v>
      </c>
      <c r="S93" s="167"/>
    </row>
    <row r="94" spans="2:19" x14ac:dyDescent="0.2">
      <c r="B94" s="10" t="s">
        <v>67</v>
      </c>
      <c r="C94" s="10"/>
      <c r="D94" s="10"/>
      <c r="E94" s="178">
        <f t="shared" ref="E94:E95" si="31">SUM(E$77*E88,E$78*C88)</f>
        <v>0</v>
      </c>
      <c r="F94" s="179">
        <f>SUM(F$77*F88,F$78*D88)</f>
        <v>-2349.0328221262903</v>
      </c>
      <c r="G94" s="179">
        <f t="shared" ref="G94:G95" si="32">SUM(G$77*G88,G$78*E88)</f>
        <v>0</v>
      </c>
      <c r="H94" s="179">
        <f t="shared" si="30"/>
        <v>2748.8524577482385</v>
      </c>
      <c r="I94" s="179">
        <f t="shared" si="30"/>
        <v>0</v>
      </c>
      <c r="J94" s="179">
        <f t="shared" si="30"/>
        <v>0</v>
      </c>
      <c r="K94" s="179">
        <f t="shared" si="30"/>
        <v>0</v>
      </c>
      <c r="L94" s="179">
        <f t="shared" si="30"/>
        <v>0</v>
      </c>
      <c r="M94" s="179">
        <f t="shared" si="30"/>
        <v>3569.8174678671771</v>
      </c>
      <c r="N94" s="179">
        <f t="shared" si="30"/>
        <v>0</v>
      </c>
      <c r="O94" s="179">
        <f t="shared" si="30"/>
        <v>-4177.4220555066022</v>
      </c>
      <c r="P94" s="179">
        <f t="shared" si="30"/>
        <v>0</v>
      </c>
      <c r="Q94" s="180">
        <f t="shared" si="30"/>
        <v>0</v>
      </c>
    </row>
    <row r="95" spans="2:19" x14ac:dyDescent="0.2">
      <c r="B95" s="10" t="s">
        <v>68</v>
      </c>
      <c r="C95" s="10"/>
      <c r="D95" s="10"/>
      <c r="E95" s="178">
        <f t="shared" si="31"/>
        <v>0</v>
      </c>
      <c r="F95" s="179">
        <f t="shared" ref="F95" si="33">SUM(F$77*F89,F$78*D89)</f>
        <v>0</v>
      </c>
      <c r="G95" s="179">
        <f t="shared" si="32"/>
        <v>0</v>
      </c>
      <c r="H95" s="179">
        <f t="shared" si="30"/>
        <v>0</v>
      </c>
      <c r="I95" s="179">
        <f t="shared" si="30"/>
        <v>0</v>
      </c>
      <c r="J95" s="179">
        <f t="shared" si="30"/>
        <v>0</v>
      </c>
      <c r="K95" s="179">
        <f t="shared" si="30"/>
        <v>0</v>
      </c>
      <c r="L95" s="179">
        <f t="shared" si="30"/>
        <v>0</v>
      </c>
      <c r="M95" s="179">
        <f t="shared" si="30"/>
        <v>2062.2155926537525</v>
      </c>
      <c r="N95" s="179">
        <f t="shared" si="30"/>
        <v>0</v>
      </c>
      <c r="O95" s="179">
        <f t="shared" si="30"/>
        <v>-2413.2171959784737</v>
      </c>
      <c r="P95" s="179">
        <f t="shared" si="30"/>
        <v>0</v>
      </c>
      <c r="Q95" s="180">
        <f t="shared" si="30"/>
        <v>0</v>
      </c>
    </row>
    <row r="96" spans="2:19" x14ac:dyDescent="0.2">
      <c r="B96" s="11" t="s">
        <v>45</v>
      </c>
      <c r="C96" s="11"/>
      <c r="D96" s="11"/>
      <c r="E96" s="32">
        <f>SUM(E93:E95)</f>
        <v>0</v>
      </c>
      <c r="F96" s="32">
        <f>SUM(F93:F95)</f>
        <v>-9054.938844444463</v>
      </c>
      <c r="G96" s="32">
        <f t="shared" ref="G96:Q96" si="34">SUM(G93:G95)</f>
        <v>0</v>
      </c>
      <c r="H96" s="32">
        <f t="shared" si="34"/>
        <v>10596.144363270614</v>
      </c>
      <c r="I96" s="32">
        <f t="shared" si="34"/>
        <v>0</v>
      </c>
      <c r="J96" s="32">
        <f t="shared" si="34"/>
        <v>0</v>
      </c>
      <c r="K96" s="32">
        <f t="shared" si="34"/>
        <v>0</v>
      </c>
      <c r="L96" s="32">
        <f t="shared" si="34"/>
        <v>0</v>
      </c>
      <c r="M96" s="91">
        <f t="shared" si="34"/>
        <v>17711.896671085618</v>
      </c>
      <c r="N96" s="32">
        <f t="shared" si="34"/>
        <v>0</v>
      </c>
      <c r="O96" s="32">
        <f t="shared" si="34"/>
        <v>-20726.568925344276</v>
      </c>
      <c r="P96" s="32">
        <f t="shared" si="34"/>
        <v>0</v>
      </c>
      <c r="Q96" s="33">
        <f t="shared" si="34"/>
        <v>0</v>
      </c>
      <c r="S96" s="167"/>
    </row>
    <row r="98" spans="1:19" x14ac:dyDescent="0.2">
      <c r="B98" s="11" t="s">
        <v>96</v>
      </c>
      <c r="C98" s="11"/>
      <c r="D98" s="11"/>
      <c r="E98" s="3" t="s">
        <v>12</v>
      </c>
      <c r="F98" s="3" t="s">
        <v>13</v>
      </c>
      <c r="G98" s="3" t="s">
        <v>14</v>
      </c>
      <c r="H98" s="3" t="s">
        <v>15</v>
      </c>
      <c r="I98" s="3" t="s">
        <v>16</v>
      </c>
      <c r="J98" s="3" t="s">
        <v>17</v>
      </c>
      <c r="K98" s="3" t="s">
        <v>18</v>
      </c>
      <c r="L98" s="3" t="s">
        <v>19</v>
      </c>
      <c r="M98" s="77" t="s">
        <v>20</v>
      </c>
      <c r="N98" s="3" t="s">
        <v>21</v>
      </c>
      <c r="O98" s="3" t="s">
        <v>22</v>
      </c>
      <c r="P98" s="3" t="s">
        <v>23</v>
      </c>
      <c r="Q98" s="3" t="s">
        <v>24</v>
      </c>
    </row>
    <row r="99" spans="1:19" x14ac:dyDescent="0.2">
      <c r="B99" s="10" t="s">
        <v>66</v>
      </c>
      <c r="C99" s="10"/>
      <c r="D99" s="10"/>
      <c r="E99" s="34">
        <f t="shared" ref="E99:Q99" si="35">SUM(E81,E93)</f>
        <v>124478.790266935</v>
      </c>
      <c r="F99" s="35">
        <f t="shared" si="35"/>
        <v>119223.38937065091</v>
      </c>
      <c r="G99" s="35">
        <f t="shared" si="35"/>
        <v>127415.35588325732</v>
      </c>
      <c r="H99" s="35">
        <f t="shared" si="35"/>
        <v>136787.51012292592</v>
      </c>
      <c r="I99" s="35">
        <f t="shared" si="35"/>
        <v>130075.5496746139</v>
      </c>
      <c r="J99" s="35">
        <f t="shared" si="35"/>
        <v>131563.88144351507</v>
      </c>
      <c r="K99" s="35">
        <f t="shared" si="35"/>
        <v>133089.01927238036</v>
      </c>
      <c r="L99" s="35">
        <f t="shared" si="35"/>
        <v>134655.15653049384</v>
      </c>
      <c r="M99" s="48">
        <f t="shared" si="35"/>
        <v>147420.88341778121</v>
      </c>
      <c r="N99" s="35">
        <f t="shared" si="35"/>
        <v>136860.60634046869</v>
      </c>
      <c r="O99" s="35">
        <f t="shared" si="35"/>
        <v>124284.2471103823</v>
      </c>
      <c r="P99" s="35">
        <f t="shared" si="35"/>
        <v>140025.07201368126</v>
      </c>
      <c r="Q99" s="36">
        <f t="shared" si="35"/>
        <v>139462.15668618664</v>
      </c>
    </row>
    <row r="100" spans="1:19" x14ac:dyDescent="0.2">
      <c r="B100" s="10" t="s">
        <v>67</v>
      </c>
      <c r="C100" s="10"/>
      <c r="D100" s="10"/>
      <c r="E100" s="22">
        <f t="shared" ref="E100:Q100" si="36">SUM(E82,E94)</f>
        <v>24558.065524682825</v>
      </c>
      <c r="F100" s="23">
        <f t="shared" si="36"/>
        <v>41763.134446669079</v>
      </c>
      <c r="G100" s="23">
        <f t="shared" si="36"/>
        <v>44139.916550854017</v>
      </c>
      <c r="H100" s="23">
        <f t="shared" si="36"/>
        <v>46890.335650220826</v>
      </c>
      <c r="I100" s="23">
        <f t="shared" si="36"/>
        <v>40852.105504689527</v>
      </c>
      <c r="J100" s="23">
        <f t="shared" si="36"/>
        <v>40900.926246350136</v>
      </c>
      <c r="K100" s="23">
        <f t="shared" si="36"/>
        <v>42875.856280882952</v>
      </c>
      <c r="L100" s="23">
        <f t="shared" si="36"/>
        <v>43497.126314392088</v>
      </c>
      <c r="M100" s="37">
        <f t="shared" si="36"/>
        <v>43565.528694624489</v>
      </c>
      <c r="N100" s="23">
        <f t="shared" si="36"/>
        <v>40440.506456885669</v>
      </c>
      <c r="O100" s="23">
        <f t="shared" si="36"/>
        <v>36664.603553352703</v>
      </c>
      <c r="P100" s="23">
        <f t="shared" si="36"/>
        <v>41200.528116427959</v>
      </c>
      <c r="Q100" s="24">
        <f t="shared" si="36"/>
        <v>39548.677637751425</v>
      </c>
    </row>
    <row r="101" spans="1:19" x14ac:dyDescent="0.2">
      <c r="B101" s="10" t="s">
        <v>68</v>
      </c>
      <c r="C101" s="10"/>
      <c r="D101" s="10"/>
      <c r="E101" s="22">
        <f t="shared" ref="E101:I101" si="37">SUM(E83,E95)</f>
        <v>0</v>
      </c>
      <c r="F101" s="23">
        <f t="shared" si="37"/>
        <v>0</v>
      </c>
      <c r="G101" s="23">
        <f t="shared" si="37"/>
        <v>0</v>
      </c>
      <c r="H101" s="23">
        <f t="shared" si="37"/>
        <v>0</v>
      </c>
      <c r="I101" s="23">
        <f t="shared" si="37"/>
        <v>0</v>
      </c>
      <c r="J101" s="23">
        <f t="shared" ref="J101:Q101" si="38">SUM(J83,J95)</f>
        <v>13643.369735934903</v>
      </c>
      <c r="K101" s="23">
        <f t="shared" si="38"/>
        <v>24964.251142229208</v>
      </c>
      <c r="L101" s="23">
        <f t="shared" si="38"/>
        <v>24965.137189097255</v>
      </c>
      <c r="M101" s="37">
        <f t="shared" si="38"/>
        <v>25166.976570915765</v>
      </c>
      <c r="N101" s="23">
        <f t="shared" si="38"/>
        <v>23132.372567748389</v>
      </c>
      <c r="O101" s="23">
        <f t="shared" si="38"/>
        <v>20750.588408753232</v>
      </c>
      <c r="P101" s="23">
        <f t="shared" si="38"/>
        <v>24447.432890815518</v>
      </c>
      <c r="Q101" s="24">
        <f t="shared" si="38"/>
        <v>22477.352823693469</v>
      </c>
      <c r="S101" s="167"/>
    </row>
    <row r="102" spans="1:19" x14ac:dyDescent="0.2">
      <c r="A102" s="2"/>
      <c r="B102" s="11" t="s">
        <v>45</v>
      </c>
      <c r="C102" s="11"/>
      <c r="D102" s="11"/>
      <c r="E102" s="31">
        <f>SUM(E99:E101)</f>
        <v>149036.85579161783</v>
      </c>
      <c r="F102" s="98">
        <f t="shared" ref="F102:Q102" si="39">SUM(F99:F101)</f>
        <v>160986.52381732001</v>
      </c>
      <c r="G102" s="32">
        <f t="shared" si="39"/>
        <v>171555.27243411134</v>
      </c>
      <c r="H102" s="98">
        <f t="shared" si="39"/>
        <v>183677.84577314675</v>
      </c>
      <c r="I102" s="32">
        <f t="shared" si="39"/>
        <v>170927.65517930343</v>
      </c>
      <c r="J102" s="32">
        <f t="shared" si="39"/>
        <v>186108.17742580012</v>
      </c>
      <c r="K102" s="32">
        <f t="shared" si="39"/>
        <v>200929.12669549254</v>
      </c>
      <c r="L102" s="32">
        <f t="shared" si="39"/>
        <v>203117.42003398319</v>
      </c>
      <c r="M102" s="98">
        <f t="shared" si="39"/>
        <v>216153.38868332148</v>
      </c>
      <c r="N102" s="32">
        <f t="shared" si="39"/>
        <v>200433.48536510274</v>
      </c>
      <c r="O102" s="98">
        <f t="shared" si="39"/>
        <v>181699.43907248823</v>
      </c>
      <c r="P102" s="32">
        <f t="shared" si="39"/>
        <v>205673.03302092475</v>
      </c>
      <c r="Q102" s="33">
        <f t="shared" si="39"/>
        <v>201488.18714763154</v>
      </c>
    </row>
    <row r="103" spans="1:19" x14ac:dyDescent="0.2"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9" s="262" customFormat="1" hidden="1" x14ac:dyDescent="0.2">
      <c r="B104" s="266"/>
      <c r="C104" s="266"/>
      <c r="D104" s="266"/>
      <c r="E104" s="267" t="s">
        <v>12</v>
      </c>
      <c r="F104" s="267" t="s">
        <v>13</v>
      </c>
      <c r="G104" s="267" t="s">
        <v>14</v>
      </c>
      <c r="H104" s="267" t="s">
        <v>15</v>
      </c>
      <c r="I104" s="267" t="s">
        <v>16</v>
      </c>
      <c r="J104" s="267" t="s">
        <v>17</v>
      </c>
      <c r="K104" s="267" t="s">
        <v>18</v>
      </c>
      <c r="L104" s="267" t="s">
        <v>19</v>
      </c>
      <c r="M104" s="267" t="s">
        <v>20</v>
      </c>
      <c r="N104" s="267" t="s">
        <v>21</v>
      </c>
      <c r="O104" s="267" t="s">
        <v>22</v>
      </c>
      <c r="P104" s="267" t="s">
        <v>23</v>
      </c>
      <c r="Q104" s="267" t="s">
        <v>24</v>
      </c>
    </row>
    <row r="105" spans="1:19" s="262" customFormat="1" hidden="1" x14ac:dyDescent="0.2">
      <c r="B105" s="268"/>
      <c r="C105" s="268"/>
      <c r="D105" s="268"/>
      <c r="E105" s="281">
        <f>Assumptions!$D$4*E99</f>
        <v>0</v>
      </c>
      <c r="F105" s="281">
        <f>Assumptions!$D$4*F99</f>
        <v>0</v>
      </c>
      <c r="G105" s="281">
        <f>Assumptions!$D$4*G99</f>
        <v>0</v>
      </c>
      <c r="H105" s="281">
        <f>Assumptions!$D$4*H99</f>
        <v>0</v>
      </c>
      <c r="I105" s="281">
        <f>Assumptions!$D$4*I99</f>
        <v>0</v>
      </c>
      <c r="J105" s="281">
        <f>Assumptions!$D$4*J99</f>
        <v>0</v>
      </c>
      <c r="K105" s="281">
        <f>Assumptions!$D$4*K99</f>
        <v>0</v>
      </c>
      <c r="L105" s="281">
        <f>Assumptions!$D$4*L99</f>
        <v>0</v>
      </c>
      <c r="M105" s="281">
        <f>Assumptions!$D$4*M99</f>
        <v>0</v>
      </c>
      <c r="N105" s="281">
        <f>Assumptions!$D$4*N99</f>
        <v>0</v>
      </c>
      <c r="O105" s="281">
        <f>Assumptions!$D$4*O99</f>
        <v>0</v>
      </c>
      <c r="P105" s="281">
        <f>Assumptions!$D$4*P99</f>
        <v>0</v>
      </c>
      <c r="Q105" s="281">
        <f>Assumptions!$D$4*Q99</f>
        <v>0</v>
      </c>
    </row>
    <row r="106" spans="1:19" s="262" customFormat="1" hidden="1" x14ac:dyDescent="0.2">
      <c r="B106" s="268"/>
      <c r="C106" s="268"/>
      <c r="D106" s="268"/>
      <c r="E106" s="281">
        <f>Assumptions!$D$4*E100</f>
        <v>0</v>
      </c>
      <c r="F106" s="281">
        <f>Assumptions!$D$4*F100</f>
        <v>0</v>
      </c>
      <c r="G106" s="281">
        <f>Assumptions!$D$4*G100</f>
        <v>0</v>
      </c>
      <c r="H106" s="281">
        <f>Assumptions!$D$4*H100</f>
        <v>0</v>
      </c>
      <c r="I106" s="281">
        <f>Assumptions!$D$4*I100</f>
        <v>0</v>
      </c>
      <c r="J106" s="281">
        <f>Assumptions!$D$4*J100</f>
        <v>0</v>
      </c>
      <c r="K106" s="281">
        <f>Assumptions!$D$4*K100</f>
        <v>0</v>
      </c>
      <c r="L106" s="281">
        <f>Assumptions!$D$4*L100</f>
        <v>0</v>
      </c>
      <c r="M106" s="281">
        <f>Assumptions!$D$4*M100</f>
        <v>0</v>
      </c>
      <c r="N106" s="281">
        <f>Assumptions!$D$4*N100</f>
        <v>0</v>
      </c>
      <c r="O106" s="281">
        <f>Assumptions!$D$4*O100</f>
        <v>0</v>
      </c>
      <c r="P106" s="281">
        <f>Assumptions!$D$4*P100</f>
        <v>0</v>
      </c>
      <c r="Q106" s="281">
        <f>Assumptions!$D$4*Q100</f>
        <v>0</v>
      </c>
    </row>
    <row r="107" spans="1:19" s="262" customFormat="1" hidden="1" x14ac:dyDescent="0.2">
      <c r="B107" s="268"/>
      <c r="C107" s="268"/>
      <c r="D107" s="268"/>
      <c r="E107" s="281">
        <f>Assumptions!$D$4*E101</f>
        <v>0</v>
      </c>
      <c r="F107" s="281">
        <f>Assumptions!$D$4*F101</f>
        <v>0</v>
      </c>
      <c r="G107" s="281">
        <f>Assumptions!$D$4*G101</f>
        <v>0</v>
      </c>
      <c r="H107" s="281">
        <f>Assumptions!$D$4*H101</f>
        <v>0</v>
      </c>
      <c r="I107" s="281">
        <f>Assumptions!$D$4*I101</f>
        <v>0</v>
      </c>
      <c r="J107" s="281">
        <f>Assumptions!$D$4*J101</f>
        <v>0</v>
      </c>
      <c r="K107" s="281">
        <f>Assumptions!$D$4*K101</f>
        <v>0</v>
      </c>
      <c r="L107" s="281">
        <f>Assumptions!$D$4*L101</f>
        <v>0</v>
      </c>
      <c r="M107" s="281">
        <f>Assumptions!$D$4*M101</f>
        <v>0</v>
      </c>
      <c r="N107" s="281">
        <f>Assumptions!$D$4*N101</f>
        <v>0</v>
      </c>
      <c r="O107" s="281">
        <f>Assumptions!$D$4*O101</f>
        <v>0</v>
      </c>
      <c r="P107" s="281">
        <f>Assumptions!$D$4*P101</f>
        <v>0</v>
      </c>
      <c r="Q107" s="281">
        <f>Assumptions!$D$4*Q101</f>
        <v>0</v>
      </c>
      <c r="S107" s="270"/>
    </row>
    <row r="108" spans="1:19" s="262" customFormat="1" hidden="1" x14ac:dyDescent="0.2">
      <c r="B108" s="266"/>
      <c r="C108" s="266"/>
      <c r="D108" s="266"/>
      <c r="E108" s="271">
        <f>SUM(E105:E107)</f>
        <v>0</v>
      </c>
      <c r="F108" s="271">
        <f t="shared" ref="F108:Q108" si="40">SUM(F105:F107)</f>
        <v>0</v>
      </c>
      <c r="G108" s="271">
        <f t="shared" si="40"/>
        <v>0</v>
      </c>
      <c r="H108" s="271">
        <f t="shared" si="40"/>
        <v>0</v>
      </c>
      <c r="I108" s="271">
        <f t="shared" si="40"/>
        <v>0</v>
      </c>
      <c r="J108" s="271">
        <f t="shared" si="40"/>
        <v>0</v>
      </c>
      <c r="K108" s="271">
        <f t="shared" si="40"/>
        <v>0</v>
      </c>
      <c r="L108" s="271">
        <f t="shared" si="40"/>
        <v>0</v>
      </c>
      <c r="M108" s="271">
        <f t="shared" si="40"/>
        <v>0</v>
      </c>
      <c r="N108" s="271">
        <f t="shared" si="40"/>
        <v>0</v>
      </c>
      <c r="O108" s="271">
        <f t="shared" si="40"/>
        <v>0</v>
      </c>
      <c r="P108" s="271">
        <f t="shared" si="40"/>
        <v>0</v>
      </c>
      <c r="Q108" s="271">
        <f t="shared" si="40"/>
        <v>0</v>
      </c>
    </row>
    <row r="109" spans="1:19" hidden="1" x14ac:dyDescent="0.2"/>
    <row r="110" spans="1:19" x14ac:dyDescent="0.2">
      <c r="B110" s="11" t="s">
        <v>98</v>
      </c>
      <c r="C110" s="11"/>
      <c r="D110" s="11"/>
      <c r="E110" s="3" t="s">
        <v>12</v>
      </c>
      <c r="F110" s="3" t="s">
        <v>13</v>
      </c>
      <c r="G110" s="3" t="s">
        <v>14</v>
      </c>
      <c r="H110" s="3" t="s">
        <v>15</v>
      </c>
      <c r="I110" s="3" t="s">
        <v>16</v>
      </c>
      <c r="J110" s="3" t="s">
        <v>17</v>
      </c>
      <c r="K110" s="3" t="s">
        <v>18</v>
      </c>
      <c r="L110" s="3" t="s">
        <v>19</v>
      </c>
      <c r="M110" s="77" t="s">
        <v>20</v>
      </c>
      <c r="N110" s="3" t="s">
        <v>21</v>
      </c>
      <c r="O110" s="3" t="s">
        <v>22</v>
      </c>
      <c r="P110" s="3" t="s">
        <v>23</v>
      </c>
      <c r="Q110" s="3" t="s">
        <v>24</v>
      </c>
    </row>
    <row r="111" spans="1:19" x14ac:dyDescent="0.2">
      <c r="B111" s="10" t="s">
        <v>40</v>
      </c>
      <c r="C111" s="10"/>
      <c r="D111" s="10"/>
      <c r="E111" s="34">
        <f t="shared" ref="E111:Q111" si="41">(E100-E106)</f>
        <v>24558.065524682825</v>
      </c>
      <c r="F111" s="35">
        <f t="shared" si="41"/>
        <v>41763.134446669079</v>
      </c>
      <c r="G111" s="35">
        <f t="shared" si="41"/>
        <v>44139.916550854017</v>
      </c>
      <c r="H111" s="35">
        <f t="shared" si="41"/>
        <v>46890.335650220826</v>
      </c>
      <c r="I111" s="35">
        <f t="shared" si="41"/>
        <v>40852.105504689527</v>
      </c>
      <c r="J111" s="35">
        <f t="shared" si="41"/>
        <v>40900.926246350136</v>
      </c>
      <c r="K111" s="35">
        <f t="shared" si="41"/>
        <v>42875.856280882952</v>
      </c>
      <c r="L111" s="35">
        <f t="shared" si="41"/>
        <v>43497.126314392088</v>
      </c>
      <c r="M111" s="48">
        <f t="shared" si="41"/>
        <v>43565.528694624489</v>
      </c>
      <c r="N111" s="35">
        <f t="shared" si="41"/>
        <v>40440.506456885669</v>
      </c>
      <c r="O111" s="35">
        <f t="shared" si="41"/>
        <v>36664.603553352703</v>
      </c>
      <c r="P111" s="35">
        <f t="shared" si="41"/>
        <v>41200.528116427959</v>
      </c>
      <c r="Q111" s="36">
        <f t="shared" si="41"/>
        <v>39548.677637751425</v>
      </c>
    </row>
    <row r="112" spans="1:19" x14ac:dyDescent="0.2">
      <c r="B112" s="10" t="s">
        <v>41</v>
      </c>
      <c r="C112" s="10"/>
      <c r="D112" s="10"/>
      <c r="E112" s="25">
        <f t="shared" ref="E112:I112" si="42">E101-E107</f>
        <v>0</v>
      </c>
      <c r="F112" s="26">
        <f t="shared" si="42"/>
        <v>0</v>
      </c>
      <c r="G112" s="26">
        <f t="shared" si="42"/>
        <v>0</v>
      </c>
      <c r="H112" s="26">
        <f t="shared" si="42"/>
        <v>0</v>
      </c>
      <c r="I112" s="26">
        <f t="shared" si="42"/>
        <v>0</v>
      </c>
      <c r="J112" s="26">
        <f t="shared" ref="J112:P112" si="43">J101-J107</f>
        <v>13643.369735934903</v>
      </c>
      <c r="K112" s="26">
        <f t="shared" si="43"/>
        <v>24964.251142229208</v>
      </c>
      <c r="L112" s="26">
        <f t="shared" si="43"/>
        <v>24965.137189097255</v>
      </c>
      <c r="M112" s="62">
        <f t="shared" si="43"/>
        <v>25166.976570915765</v>
      </c>
      <c r="N112" s="26">
        <f t="shared" si="43"/>
        <v>23132.372567748389</v>
      </c>
      <c r="O112" s="26">
        <f t="shared" si="43"/>
        <v>20750.588408753232</v>
      </c>
      <c r="P112" s="26">
        <f t="shared" si="43"/>
        <v>24447.432890815518</v>
      </c>
      <c r="Q112" s="27">
        <f>Q101-Q107</f>
        <v>22477.352823693469</v>
      </c>
      <c r="S112" s="167"/>
    </row>
    <row r="113" spans="2:17" x14ac:dyDescent="0.2">
      <c r="B113" s="10"/>
      <c r="C113" s="10"/>
      <c r="D113" s="10"/>
      <c r="E113" s="4"/>
      <c r="F113" s="4"/>
      <c r="G113" s="4"/>
      <c r="H113" s="4"/>
      <c r="I113" s="4"/>
      <c r="J113" s="4"/>
      <c r="K113" s="4"/>
      <c r="L113" s="4"/>
      <c r="M113" s="92"/>
      <c r="N113" s="4"/>
      <c r="O113" s="4"/>
      <c r="P113" s="4"/>
      <c r="Q113" s="4"/>
    </row>
    <row r="114" spans="2:17" x14ac:dyDescent="0.2">
      <c r="B114" s="11" t="s">
        <v>84</v>
      </c>
      <c r="C114" s="11"/>
      <c r="D114" s="11"/>
      <c r="E114" s="3" t="s">
        <v>12</v>
      </c>
      <c r="F114" s="3" t="s">
        <v>13</v>
      </c>
      <c r="G114" s="3" t="s">
        <v>14</v>
      </c>
      <c r="H114" s="3" t="s">
        <v>15</v>
      </c>
      <c r="I114" s="3" t="s">
        <v>16</v>
      </c>
      <c r="J114" s="3" t="s">
        <v>17</v>
      </c>
      <c r="K114" s="3" t="s">
        <v>18</v>
      </c>
      <c r="L114" s="3" t="s">
        <v>19</v>
      </c>
      <c r="M114" s="77" t="s">
        <v>20</v>
      </c>
      <c r="N114" s="3" t="s">
        <v>21</v>
      </c>
      <c r="O114" s="3" t="s">
        <v>22</v>
      </c>
      <c r="P114" s="3" t="s">
        <v>23</v>
      </c>
      <c r="Q114" s="3" t="s">
        <v>24</v>
      </c>
    </row>
    <row r="115" spans="2:17" x14ac:dyDescent="0.2">
      <c r="B115" s="10" t="s">
        <v>85</v>
      </c>
      <c r="C115" s="10"/>
      <c r="D115" s="10"/>
      <c r="E115" s="34">
        <f>Baseline!E66</f>
        <v>24557.924508646793</v>
      </c>
      <c r="F115" s="35">
        <f>Baseline!F66</f>
        <v>44112.047245050446</v>
      </c>
      <c r="G115" s="35">
        <f>Baseline!G66</f>
        <v>44140.10374823452</v>
      </c>
      <c r="H115" s="35">
        <f>Baseline!H66</f>
        <v>44141.304310060383</v>
      </c>
      <c r="I115" s="35">
        <f>Baseline!I66</f>
        <v>40851.948915318426</v>
      </c>
      <c r="J115" s="35">
        <f>Baseline!J66</f>
        <v>40900.887253546782</v>
      </c>
      <c r="K115" s="35">
        <f>Baseline!K66</f>
        <v>42875.829245590365</v>
      </c>
      <c r="L115" s="35">
        <f>Baseline!L66</f>
        <v>43497.25051277491</v>
      </c>
      <c r="M115" s="48">
        <f>Baseline!M66</f>
        <v>39995.813611252182</v>
      </c>
      <c r="N115" s="35">
        <f>Baseline!N66</f>
        <v>40440.408527088483</v>
      </c>
      <c r="O115" s="35">
        <f>Baseline!O66</f>
        <v>40842.023995194715</v>
      </c>
      <c r="P115" s="35">
        <f>Baseline!P66</f>
        <v>41200.721822175343</v>
      </c>
      <c r="Q115" s="36">
        <f>Baseline!Q66</f>
        <v>39548.640903879059</v>
      </c>
    </row>
    <row r="116" spans="2:17" x14ac:dyDescent="0.2">
      <c r="B116" s="10" t="s">
        <v>86</v>
      </c>
      <c r="C116" s="10"/>
      <c r="D116" s="10"/>
      <c r="E116" s="22">
        <f>E111</f>
        <v>24558.065524682825</v>
      </c>
      <c r="F116" s="23">
        <f t="shared" ref="F116:Q116" si="44">F111</f>
        <v>41763.134446669079</v>
      </c>
      <c r="G116" s="23">
        <f t="shared" si="44"/>
        <v>44139.916550854017</v>
      </c>
      <c r="H116" s="23">
        <f t="shared" si="44"/>
        <v>46890.335650220826</v>
      </c>
      <c r="I116" s="23">
        <f t="shared" si="44"/>
        <v>40852.105504689527</v>
      </c>
      <c r="J116" s="23">
        <f t="shared" si="44"/>
        <v>40900.926246350136</v>
      </c>
      <c r="K116" s="23">
        <f t="shared" si="44"/>
        <v>42875.856280882952</v>
      </c>
      <c r="L116" s="23">
        <f t="shared" si="44"/>
        <v>43497.126314392088</v>
      </c>
      <c r="M116" s="37">
        <f t="shared" si="44"/>
        <v>43565.528694624489</v>
      </c>
      <c r="N116" s="23">
        <f t="shared" si="44"/>
        <v>40440.506456885669</v>
      </c>
      <c r="O116" s="23">
        <f t="shared" si="44"/>
        <v>36664.603553352703</v>
      </c>
      <c r="P116" s="23">
        <f t="shared" si="44"/>
        <v>41200.528116427959</v>
      </c>
      <c r="Q116" s="24">
        <f t="shared" si="44"/>
        <v>39548.677637751425</v>
      </c>
    </row>
    <row r="117" spans="2:17" x14ac:dyDescent="0.2">
      <c r="B117" s="10" t="s">
        <v>87</v>
      </c>
      <c r="C117" s="10"/>
      <c r="D117" s="10"/>
      <c r="E117" s="25">
        <f>E116-E115</f>
        <v>0.14101603603194235</v>
      </c>
      <c r="F117" s="113">
        <f t="shared" ref="F117:Q117" si="45">F116-F115</f>
        <v>-2348.9127983813669</v>
      </c>
      <c r="G117" s="26">
        <f t="shared" si="45"/>
        <v>-0.18719738050276646</v>
      </c>
      <c r="H117" s="113">
        <f t="shared" si="45"/>
        <v>2749.0313401604435</v>
      </c>
      <c r="I117" s="26">
        <f t="shared" si="45"/>
        <v>0.15658937110129045</v>
      </c>
      <c r="J117" s="26">
        <f t="shared" si="45"/>
        <v>3.8992803354631178E-2</v>
      </c>
      <c r="K117" s="26">
        <f t="shared" si="45"/>
        <v>2.7035292587243021E-2</v>
      </c>
      <c r="L117" s="26">
        <f t="shared" si="45"/>
        <v>-0.12419838282221463</v>
      </c>
      <c r="M117" s="113">
        <f t="shared" si="45"/>
        <v>3569.7150833723063</v>
      </c>
      <c r="N117" s="26">
        <f t="shared" si="45"/>
        <v>9.7929797186225187E-2</v>
      </c>
      <c r="O117" s="113">
        <f t="shared" si="45"/>
        <v>-4177.4204418420122</v>
      </c>
      <c r="P117" s="26">
        <f t="shared" si="45"/>
        <v>-0.19370574738422874</v>
      </c>
      <c r="Q117" s="27">
        <f t="shared" si="45"/>
        <v>3.6733872366312426E-2</v>
      </c>
    </row>
    <row r="118" spans="2:17" x14ac:dyDescent="0.2">
      <c r="E118" s="3"/>
      <c r="F118" s="3"/>
      <c r="G118" s="3"/>
      <c r="H118" s="3"/>
      <c r="I118" s="3"/>
      <c r="J118" s="3"/>
      <c r="K118" s="3"/>
      <c r="L118" s="3"/>
      <c r="M118" s="77"/>
      <c r="N118" s="3"/>
      <c r="O118" s="3"/>
      <c r="P118" s="3"/>
      <c r="Q118" s="3"/>
    </row>
    <row r="119" spans="2:17" x14ac:dyDescent="0.2">
      <c r="B119" s="10" t="s">
        <v>88</v>
      </c>
      <c r="C119" s="10"/>
      <c r="D119" s="10"/>
      <c r="E119" s="89">
        <f>NPV(Assumptions!$D$3,E115:Q115)</f>
        <v>314165.76454773144</v>
      </c>
      <c r="F119" s="4"/>
      <c r="G119" s="88"/>
      <c r="H119" s="84"/>
      <c r="I119" s="4"/>
      <c r="J119" s="4"/>
      <c r="K119" s="4"/>
      <c r="L119" s="4"/>
      <c r="M119" s="92"/>
      <c r="N119" s="4"/>
      <c r="O119" s="4"/>
      <c r="P119" s="4"/>
      <c r="Q119" s="4"/>
    </row>
    <row r="120" spans="2:17" x14ac:dyDescent="0.2">
      <c r="B120" s="10" t="s">
        <v>89</v>
      </c>
      <c r="C120" s="10"/>
      <c r="D120" s="10"/>
      <c r="E120" s="90">
        <f>NPV(Assumptions!$D$3,E116:Q116)</f>
        <v>314165.99225269811</v>
      </c>
      <c r="H120" s="14"/>
    </row>
    <row r="121" spans="2:17" x14ac:dyDescent="0.2">
      <c r="B121" s="10" t="s">
        <v>90</v>
      </c>
      <c r="C121" s="10"/>
      <c r="D121" s="10"/>
      <c r="E121" s="44">
        <f>E119-E120</f>
        <v>-0.2277049666736275</v>
      </c>
    </row>
    <row r="123" spans="2:17" s="262" customFormat="1" hidden="1" x14ac:dyDescent="0.2">
      <c r="B123" s="266"/>
      <c r="C123" s="266"/>
      <c r="D123" s="266"/>
      <c r="E123" s="267" t="s">
        <v>12</v>
      </c>
      <c r="F123" s="267" t="s">
        <v>13</v>
      </c>
      <c r="G123" s="267" t="s">
        <v>14</v>
      </c>
      <c r="H123" s="267" t="s">
        <v>15</v>
      </c>
      <c r="I123" s="267" t="s">
        <v>16</v>
      </c>
      <c r="J123" s="267" t="s">
        <v>17</v>
      </c>
      <c r="K123" s="267" t="s">
        <v>18</v>
      </c>
      <c r="L123" s="267" t="s">
        <v>19</v>
      </c>
      <c r="M123" s="267" t="s">
        <v>20</v>
      </c>
      <c r="N123" s="267" t="s">
        <v>21</v>
      </c>
      <c r="O123" s="267" t="s">
        <v>22</v>
      </c>
      <c r="P123" s="267" t="s">
        <v>23</v>
      </c>
      <c r="Q123" s="267" t="s">
        <v>24</v>
      </c>
    </row>
    <row r="124" spans="2:17" s="262" customFormat="1" hidden="1" x14ac:dyDescent="0.2">
      <c r="B124" s="268"/>
      <c r="C124" s="268"/>
      <c r="D124" s="268"/>
      <c r="E124" s="281">
        <f>Baseline!E16</f>
        <v>0</v>
      </c>
      <c r="F124" s="281">
        <f>Baseline!F16</f>
        <v>0</v>
      </c>
      <c r="G124" s="281">
        <f>Baseline!G16</f>
        <v>0</v>
      </c>
      <c r="H124" s="281">
        <f>Baseline!H16</f>
        <v>0</v>
      </c>
      <c r="I124" s="281">
        <f>Baseline!I16</f>
        <v>0</v>
      </c>
      <c r="J124" s="281">
        <f>Baseline!J16</f>
        <v>0</v>
      </c>
      <c r="K124" s="281">
        <f>Baseline!K16</f>
        <v>0</v>
      </c>
      <c r="L124" s="281">
        <f>Baseline!L16</f>
        <v>0</v>
      </c>
      <c r="M124" s="281">
        <f>Baseline!M16</f>
        <v>0</v>
      </c>
      <c r="N124" s="281">
        <f>Baseline!N16</f>
        <v>0</v>
      </c>
      <c r="O124" s="281">
        <f>Baseline!O16</f>
        <v>0</v>
      </c>
      <c r="P124" s="281">
        <f>Baseline!P16</f>
        <v>0</v>
      </c>
      <c r="Q124" s="281">
        <f>Baseline!Q16</f>
        <v>0</v>
      </c>
    </row>
    <row r="125" spans="2:17" s="262" customFormat="1" hidden="1" x14ac:dyDescent="0.2">
      <c r="B125" s="268"/>
      <c r="C125" s="268"/>
      <c r="D125" s="268"/>
      <c r="E125" s="281">
        <f>E106</f>
        <v>0</v>
      </c>
      <c r="F125" s="281">
        <f t="shared" ref="F125:Q125" si="46">F106</f>
        <v>0</v>
      </c>
      <c r="G125" s="281">
        <f t="shared" si="46"/>
        <v>0</v>
      </c>
      <c r="H125" s="281">
        <f t="shared" si="46"/>
        <v>0</v>
      </c>
      <c r="I125" s="281">
        <f t="shared" si="46"/>
        <v>0</v>
      </c>
      <c r="J125" s="281">
        <f t="shared" si="46"/>
        <v>0</v>
      </c>
      <c r="K125" s="281">
        <f t="shared" si="46"/>
        <v>0</v>
      </c>
      <c r="L125" s="281">
        <f t="shared" si="46"/>
        <v>0</v>
      </c>
      <c r="M125" s="281">
        <f t="shared" si="46"/>
        <v>0</v>
      </c>
      <c r="N125" s="281">
        <f t="shared" si="46"/>
        <v>0</v>
      </c>
      <c r="O125" s="281">
        <f t="shared" si="46"/>
        <v>0</v>
      </c>
      <c r="P125" s="281">
        <f t="shared" si="46"/>
        <v>0</v>
      </c>
      <c r="Q125" s="281">
        <f t="shared" si="46"/>
        <v>0</v>
      </c>
    </row>
    <row r="126" spans="2:17" s="262" customFormat="1" hidden="1" x14ac:dyDescent="0.2">
      <c r="B126" s="268"/>
      <c r="C126" s="268"/>
      <c r="D126" s="268"/>
      <c r="E126" s="281">
        <f>E125-E124</f>
        <v>0</v>
      </c>
      <c r="F126" s="281">
        <f t="shared" ref="F126:Q126" si="47">F125-F124</f>
        <v>0</v>
      </c>
      <c r="G126" s="281">
        <f t="shared" si="47"/>
        <v>0</v>
      </c>
      <c r="H126" s="281">
        <f t="shared" si="47"/>
        <v>0</v>
      </c>
      <c r="I126" s="281">
        <f t="shared" si="47"/>
        <v>0</v>
      </c>
      <c r="J126" s="281">
        <f t="shared" si="47"/>
        <v>0</v>
      </c>
      <c r="K126" s="281">
        <f t="shared" si="47"/>
        <v>0</v>
      </c>
      <c r="L126" s="281">
        <f t="shared" si="47"/>
        <v>0</v>
      </c>
      <c r="M126" s="281">
        <f t="shared" si="47"/>
        <v>0</v>
      </c>
      <c r="N126" s="281">
        <f t="shared" si="47"/>
        <v>0</v>
      </c>
      <c r="O126" s="281">
        <f t="shared" si="47"/>
        <v>0</v>
      </c>
      <c r="P126" s="281">
        <f t="shared" si="47"/>
        <v>0</v>
      </c>
      <c r="Q126" s="281">
        <f t="shared" si="47"/>
        <v>0</v>
      </c>
    </row>
    <row r="127" spans="2:17" s="262" customFormat="1" hidden="1" x14ac:dyDescent="0.2"/>
    <row r="128" spans="2:17" s="262" customFormat="1" hidden="1" x14ac:dyDescent="0.2">
      <c r="B128" s="268"/>
      <c r="C128" s="268"/>
      <c r="D128" s="268"/>
      <c r="E128" s="281">
        <f>NPV(Assumptions!$D$3,E124:Q124)</f>
        <v>0</v>
      </c>
    </row>
    <row r="129" spans="2:19" s="262" customFormat="1" hidden="1" x14ac:dyDescent="0.2">
      <c r="B129" s="268"/>
      <c r="C129" s="268"/>
      <c r="D129" s="268"/>
      <c r="E129" s="281">
        <f>NPV(Assumptions!$D$3,E125:Q125)</f>
        <v>0</v>
      </c>
    </row>
    <row r="130" spans="2:19" s="262" customFormat="1" hidden="1" x14ac:dyDescent="0.2">
      <c r="B130" s="268"/>
      <c r="C130" s="268"/>
      <c r="D130" s="268"/>
      <c r="E130" s="281">
        <f>E129-E128</f>
        <v>0</v>
      </c>
    </row>
    <row r="131" spans="2:19" hidden="1" x14ac:dyDescent="0.2"/>
    <row r="132" spans="2:19" x14ac:dyDescent="0.2">
      <c r="B132" s="11" t="s">
        <v>99</v>
      </c>
      <c r="C132" s="11"/>
      <c r="D132" s="11"/>
      <c r="E132" s="3" t="s">
        <v>12</v>
      </c>
      <c r="F132" s="3" t="s">
        <v>13</v>
      </c>
      <c r="G132" s="3" t="s">
        <v>14</v>
      </c>
      <c r="H132" s="3" t="s">
        <v>15</v>
      </c>
      <c r="I132" s="3" t="s">
        <v>16</v>
      </c>
      <c r="J132" s="3" t="s">
        <v>17</v>
      </c>
      <c r="K132" s="3" t="s">
        <v>18</v>
      </c>
      <c r="L132" s="3" t="s">
        <v>19</v>
      </c>
      <c r="M132" s="77" t="s">
        <v>20</v>
      </c>
      <c r="N132" s="3" t="s">
        <v>21</v>
      </c>
      <c r="O132" s="3" t="s">
        <v>22</v>
      </c>
      <c r="P132" s="3" t="s">
        <v>23</v>
      </c>
      <c r="Q132" s="3" t="s">
        <v>24</v>
      </c>
    </row>
    <row r="133" spans="2:19" x14ac:dyDescent="0.2">
      <c r="B133" s="10" t="s">
        <v>100</v>
      </c>
      <c r="C133" s="10"/>
      <c r="D133" s="10"/>
      <c r="E133" s="45">
        <f>Baseline!E22</f>
        <v>0.16477847304441071</v>
      </c>
      <c r="F133" s="46">
        <f>Baseline!F22</f>
        <v>0.25942006483760055</v>
      </c>
      <c r="G133" s="46">
        <f>Baseline!G22</f>
        <v>0.25729268430270302</v>
      </c>
      <c r="H133" s="46">
        <f>Baseline!H22</f>
        <v>0.25503263968928064</v>
      </c>
      <c r="I133" s="46">
        <f>Baseline!I22</f>
        <v>0.23900231628308241</v>
      </c>
      <c r="J133" s="46">
        <f>Baseline!J22</f>
        <v>0.21976963512340567</v>
      </c>
      <c r="K133" s="46">
        <f>Baseline!K22</f>
        <v>0.21338795915766448</v>
      </c>
      <c r="L133" s="46">
        <f>Baseline!L22</f>
        <v>0.214147690075596</v>
      </c>
      <c r="M133" s="79">
        <f>Baseline!M22</f>
        <v>0.20154913582433245</v>
      </c>
      <c r="N133" s="46">
        <f>Baseline!N22</f>
        <v>0.20176522093212437</v>
      </c>
      <c r="O133" s="46">
        <f>Baseline!O22</f>
        <v>0.20176273796446462</v>
      </c>
      <c r="P133" s="46">
        <f>Baseline!P22</f>
        <v>0.20032051606997162</v>
      </c>
      <c r="Q133" s="47">
        <f>Baseline!Q22</f>
        <v>0.19628286004069254</v>
      </c>
    </row>
    <row r="134" spans="2:19" x14ac:dyDescent="0.2">
      <c r="B134" s="10" t="s">
        <v>101</v>
      </c>
      <c r="C134" s="10"/>
      <c r="D134" s="10"/>
      <c r="E134" s="38">
        <f>(E100-E106)/(E102-E108)</f>
        <v>0.16477847304441071</v>
      </c>
      <c r="F134" s="39">
        <f t="shared" ref="F134:Q134" si="48">(F100-F106)/(F102-F108)</f>
        <v>0.25942006483760055</v>
      </c>
      <c r="G134" s="39">
        <f t="shared" si="48"/>
        <v>0.25729268430270302</v>
      </c>
      <c r="H134" s="39">
        <f t="shared" si="48"/>
        <v>0.25528574473882509</v>
      </c>
      <c r="I134" s="39">
        <f t="shared" si="48"/>
        <v>0.23900231628308241</v>
      </c>
      <c r="J134" s="39">
        <f t="shared" si="48"/>
        <v>0.21976963512340567</v>
      </c>
      <c r="K134" s="39">
        <f t="shared" si="48"/>
        <v>0.21338795915766448</v>
      </c>
      <c r="L134" s="39">
        <f t="shared" si="48"/>
        <v>0.214147690075596</v>
      </c>
      <c r="M134" s="80">
        <f t="shared" si="48"/>
        <v>0.20154913582433245</v>
      </c>
      <c r="N134" s="39">
        <f t="shared" si="48"/>
        <v>0.20176522093212437</v>
      </c>
      <c r="O134" s="39">
        <f t="shared" si="48"/>
        <v>0.2017871036945002</v>
      </c>
      <c r="P134" s="39">
        <f t="shared" si="48"/>
        <v>0.20032051606997162</v>
      </c>
      <c r="Q134" s="40">
        <f t="shared" si="48"/>
        <v>0.19628286004069254</v>
      </c>
    </row>
    <row r="135" spans="2:19" x14ac:dyDescent="0.2">
      <c r="B135" s="10" t="s">
        <v>87</v>
      </c>
      <c r="C135" s="10"/>
      <c r="D135" s="10"/>
      <c r="E135" s="53">
        <f>E134-E133</f>
        <v>0</v>
      </c>
      <c r="F135" s="54">
        <f t="shared" ref="F135:Q135" si="49">F134-F133</f>
        <v>0</v>
      </c>
      <c r="G135" s="54">
        <f t="shared" si="49"/>
        <v>0</v>
      </c>
      <c r="H135" s="54">
        <f t="shared" si="49"/>
        <v>2.5310504954445534E-4</v>
      </c>
      <c r="I135" s="54">
        <f t="shared" si="49"/>
        <v>0</v>
      </c>
      <c r="J135" s="54">
        <f t="shared" si="49"/>
        <v>0</v>
      </c>
      <c r="K135" s="54">
        <f t="shared" si="49"/>
        <v>0</v>
      </c>
      <c r="L135" s="54">
        <f t="shared" si="49"/>
        <v>0</v>
      </c>
      <c r="M135" s="93">
        <f t="shared" si="49"/>
        <v>0</v>
      </c>
      <c r="N135" s="54">
        <f t="shared" si="49"/>
        <v>0</v>
      </c>
      <c r="O135" s="54">
        <f t="shared" si="49"/>
        <v>2.4365730035585953E-5</v>
      </c>
      <c r="P135" s="54">
        <f t="shared" si="49"/>
        <v>0</v>
      </c>
      <c r="Q135" s="55">
        <f t="shared" si="49"/>
        <v>0</v>
      </c>
    </row>
    <row r="137" spans="2:19" x14ac:dyDescent="0.2">
      <c r="B137" s="11" t="s">
        <v>91</v>
      </c>
      <c r="C137" s="11"/>
      <c r="D137" s="11"/>
      <c r="E137" s="3" t="s">
        <v>12</v>
      </c>
      <c r="F137" s="3" t="s">
        <v>13</v>
      </c>
      <c r="G137" s="3" t="s">
        <v>14</v>
      </c>
      <c r="H137" s="3" t="s">
        <v>15</v>
      </c>
      <c r="I137" s="3" t="s">
        <v>16</v>
      </c>
      <c r="J137" s="3" t="s">
        <v>17</v>
      </c>
      <c r="K137" s="3" t="s">
        <v>18</v>
      </c>
      <c r="L137" s="3" t="s">
        <v>19</v>
      </c>
      <c r="M137" s="77" t="s">
        <v>20</v>
      </c>
      <c r="N137" s="3" t="s">
        <v>21</v>
      </c>
      <c r="O137" s="3" t="s">
        <v>22</v>
      </c>
      <c r="P137" s="3" t="s">
        <v>23</v>
      </c>
      <c r="Q137" s="3" t="s">
        <v>24</v>
      </c>
    </row>
    <row r="138" spans="2:19" x14ac:dyDescent="0.2">
      <c r="B138" s="10" t="s">
        <v>85</v>
      </c>
      <c r="C138" s="10"/>
      <c r="D138" s="10"/>
      <c r="E138" s="34">
        <f>Baseline!E67</f>
        <v>0</v>
      </c>
      <c r="F138" s="35">
        <f>Baseline!F67</f>
        <v>0</v>
      </c>
      <c r="G138" s="35">
        <f>Baseline!G67</f>
        <v>0</v>
      </c>
      <c r="H138" s="35">
        <f>Baseline!H67</f>
        <v>0</v>
      </c>
      <c r="I138" s="35">
        <f>Baseline!I67</f>
        <v>0</v>
      </c>
      <c r="J138" s="35">
        <f>Baseline!J67</f>
        <v>13643.356729059948</v>
      </c>
      <c r="K138" s="35">
        <f>Baseline!K67</f>
        <v>24964.235401066409</v>
      </c>
      <c r="L138" s="35">
        <f>Baseline!L67</f>
        <v>24965.208472649265</v>
      </c>
      <c r="M138" s="48">
        <f>Baseline!M67</f>
        <v>23104.820123835609</v>
      </c>
      <c r="N138" s="35">
        <f>Baseline!N67</f>
        <v>23132.316550928808</v>
      </c>
      <c r="O138" s="35">
        <f>Baseline!O67</f>
        <v>23163.804689531924</v>
      </c>
      <c r="P138" s="35">
        <f>Baseline!P67</f>
        <v>24447.54783129022</v>
      </c>
      <c r="Q138" s="36">
        <f>Baseline!Q67</f>
        <v>22477.331946125392</v>
      </c>
      <c r="S138" s="167"/>
    </row>
    <row r="139" spans="2:19" x14ac:dyDescent="0.2">
      <c r="B139" s="10" t="s">
        <v>86</v>
      </c>
      <c r="C139" s="10"/>
      <c r="D139" s="10"/>
      <c r="E139" s="22">
        <f t="shared" ref="E139:I139" si="50">E112</f>
        <v>0</v>
      </c>
      <c r="F139" s="23">
        <f t="shared" si="50"/>
        <v>0</v>
      </c>
      <c r="G139" s="23">
        <f t="shared" si="50"/>
        <v>0</v>
      </c>
      <c r="H139" s="23">
        <f t="shared" si="50"/>
        <v>0</v>
      </c>
      <c r="I139" s="23">
        <f t="shared" si="50"/>
        <v>0</v>
      </c>
      <c r="J139" s="23">
        <f t="shared" ref="J139:Q139" si="51">J112</f>
        <v>13643.369735934903</v>
      </c>
      <c r="K139" s="23">
        <f t="shared" si="51"/>
        <v>24964.251142229208</v>
      </c>
      <c r="L139" s="23">
        <f t="shared" si="51"/>
        <v>24965.137189097255</v>
      </c>
      <c r="M139" s="37">
        <f t="shared" si="51"/>
        <v>25166.976570915765</v>
      </c>
      <c r="N139" s="23">
        <f t="shared" si="51"/>
        <v>23132.372567748389</v>
      </c>
      <c r="O139" s="23">
        <f t="shared" si="51"/>
        <v>20750.588408753232</v>
      </c>
      <c r="P139" s="23">
        <f t="shared" si="51"/>
        <v>24447.432890815518</v>
      </c>
      <c r="Q139" s="24">
        <f t="shared" si="51"/>
        <v>22477.352823693469</v>
      </c>
    </row>
    <row r="140" spans="2:19" x14ac:dyDescent="0.2">
      <c r="B140" s="10" t="s">
        <v>87</v>
      </c>
      <c r="C140" s="10"/>
      <c r="D140" s="10"/>
      <c r="E140" s="25">
        <f t="shared" ref="E140:I140" si="52">E139-E138</f>
        <v>0</v>
      </c>
      <c r="F140" s="26">
        <f t="shared" si="52"/>
        <v>0</v>
      </c>
      <c r="G140" s="26">
        <f t="shared" si="52"/>
        <v>0</v>
      </c>
      <c r="H140" s="26">
        <f t="shared" si="52"/>
        <v>0</v>
      </c>
      <c r="I140" s="26">
        <f t="shared" si="52"/>
        <v>0</v>
      </c>
      <c r="J140" s="26">
        <f>J139-J138</f>
        <v>1.3006874954953673E-2</v>
      </c>
      <c r="K140" s="26">
        <f t="shared" ref="K140:Q140" si="53">K139-K138</f>
        <v>1.5741162798803998E-2</v>
      </c>
      <c r="L140" s="26">
        <f t="shared" si="53"/>
        <v>-7.1283552009845152E-2</v>
      </c>
      <c r="M140" s="62">
        <f t="shared" si="53"/>
        <v>2062.1564470801568</v>
      </c>
      <c r="N140" s="26">
        <f t="shared" si="53"/>
        <v>5.6016819580690935E-2</v>
      </c>
      <c r="O140" s="26">
        <f t="shared" si="53"/>
        <v>-2413.2162807786917</v>
      </c>
      <c r="P140" s="26">
        <f t="shared" si="53"/>
        <v>-0.1149404747011431</v>
      </c>
      <c r="Q140" s="27">
        <f t="shared" si="53"/>
        <v>2.0877568076684838E-2</v>
      </c>
    </row>
    <row r="142" spans="2:19" x14ac:dyDescent="0.2">
      <c r="B142" s="10" t="s">
        <v>88</v>
      </c>
      <c r="C142" s="10"/>
      <c r="D142" s="10"/>
      <c r="E142" s="89">
        <f>NPV(Assumptions!$D$3,J138:Q138)</f>
        <v>126700.0799330163</v>
      </c>
    </row>
    <row r="143" spans="2:19" x14ac:dyDescent="0.2">
      <c r="B143" s="10" t="s">
        <v>89</v>
      </c>
      <c r="C143" s="10"/>
      <c r="D143" s="10"/>
      <c r="E143" s="90">
        <f>NPV(Assumptions!$D$3,J139:Q139)</f>
        <v>126699.98911883404</v>
      </c>
    </row>
    <row r="144" spans="2:19" x14ac:dyDescent="0.2">
      <c r="B144" s="10" t="s">
        <v>90</v>
      </c>
      <c r="C144" s="10"/>
      <c r="D144" s="10"/>
      <c r="E144" s="44">
        <f>E143-E142</f>
        <v>-9.0814182258327492E-2</v>
      </c>
    </row>
    <row r="146" spans="2:19" s="262" customFormat="1" hidden="1" x14ac:dyDescent="0.2">
      <c r="B146" s="266"/>
      <c r="C146" s="266"/>
      <c r="D146" s="266"/>
      <c r="E146" s="267" t="s">
        <v>12</v>
      </c>
      <c r="F146" s="267" t="s">
        <v>13</v>
      </c>
      <c r="G146" s="267" t="s">
        <v>14</v>
      </c>
      <c r="H146" s="267" t="s">
        <v>15</v>
      </c>
      <c r="I146" s="267" t="s">
        <v>16</v>
      </c>
      <c r="J146" s="267" t="s">
        <v>17</v>
      </c>
      <c r="K146" s="267" t="s">
        <v>18</v>
      </c>
      <c r="L146" s="267" t="s">
        <v>19</v>
      </c>
      <c r="M146" s="267" t="s">
        <v>20</v>
      </c>
      <c r="N146" s="267" t="s">
        <v>21</v>
      </c>
      <c r="O146" s="267" t="s">
        <v>22</v>
      </c>
      <c r="P146" s="267" t="s">
        <v>23</v>
      </c>
      <c r="Q146" s="267" t="s">
        <v>24</v>
      </c>
    </row>
    <row r="147" spans="2:19" s="262" customFormat="1" hidden="1" x14ac:dyDescent="0.2">
      <c r="B147" s="268"/>
      <c r="C147" s="268"/>
      <c r="D147" s="268"/>
      <c r="E147" s="281">
        <f>Baseline!E17</f>
        <v>0</v>
      </c>
      <c r="F147" s="281">
        <f>Baseline!F17</f>
        <v>0</v>
      </c>
      <c r="G147" s="281">
        <f>Baseline!G17</f>
        <v>0</v>
      </c>
      <c r="H147" s="281">
        <f>Baseline!H17</f>
        <v>0</v>
      </c>
      <c r="I147" s="281">
        <f>Baseline!I17</f>
        <v>0</v>
      </c>
      <c r="J147" s="281">
        <f>Baseline!J17</f>
        <v>0</v>
      </c>
      <c r="K147" s="281">
        <f>Baseline!K17</f>
        <v>0</v>
      </c>
      <c r="L147" s="281">
        <f>Baseline!L17</f>
        <v>0</v>
      </c>
      <c r="M147" s="281">
        <f>Baseline!M17</f>
        <v>0</v>
      </c>
      <c r="N147" s="281">
        <f>Baseline!N17</f>
        <v>0</v>
      </c>
      <c r="O147" s="281">
        <f>Baseline!O17</f>
        <v>0</v>
      </c>
      <c r="P147" s="281">
        <f>Baseline!P17</f>
        <v>0</v>
      </c>
      <c r="Q147" s="281">
        <f>Baseline!Q17</f>
        <v>0</v>
      </c>
      <c r="S147" s="270"/>
    </row>
    <row r="148" spans="2:19" s="262" customFormat="1" hidden="1" x14ac:dyDescent="0.2">
      <c r="B148" s="268"/>
      <c r="C148" s="268"/>
      <c r="D148" s="268"/>
      <c r="E148" s="281">
        <f t="shared" ref="E148:I148" si="54">E107</f>
        <v>0</v>
      </c>
      <c r="F148" s="281">
        <f t="shared" si="54"/>
        <v>0</v>
      </c>
      <c r="G148" s="281">
        <f t="shared" si="54"/>
        <v>0</v>
      </c>
      <c r="H148" s="281">
        <f t="shared" si="54"/>
        <v>0</v>
      </c>
      <c r="I148" s="281">
        <f t="shared" si="54"/>
        <v>0</v>
      </c>
      <c r="J148" s="281">
        <f t="shared" ref="J148:Q148" si="55">J107</f>
        <v>0</v>
      </c>
      <c r="K148" s="281">
        <f t="shared" si="55"/>
        <v>0</v>
      </c>
      <c r="L148" s="281">
        <f t="shared" si="55"/>
        <v>0</v>
      </c>
      <c r="M148" s="281">
        <f t="shared" si="55"/>
        <v>0</v>
      </c>
      <c r="N148" s="281">
        <f t="shared" si="55"/>
        <v>0</v>
      </c>
      <c r="O148" s="281">
        <f t="shared" si="55"/>
        <v>0</v>
      </c>
      <c r="P148" s="281">
        <f t="shared" si="55"/>
        <v>0</v>
      </c>
      <c r="Q148" s="281">
        <f t="shared" si="55"/>
        <v>0</v>
      </c>
    </row>
    <row r="149" spans="2:19" s="262" customFormat="1" hidden="1" x14ac:dyDescent="0.2">
      <c r="B149" s="268"/>
      <c r="C149" s="268"/>
      <c r="D149" s="268"/>
      <c r="E149" s="281">
        <f t="shared" ref="E149:I149" si="56">E148-E147</f>
        <v>0</v>
      </c>
      <c r="F149" s="281">
        <f t="shared" si="56"/>
        <v>0</v>
      </c>
      <c r="G149" s="281">
        <f t="shared" si="56"/>
        <v>0</v>
      </c>
      <c r="H149" s="281">
        <f t="shared" si="56"/>
        <v>0</v>
      </c>
      <c r="I149" s="281">
        <f t="shared" si="56"/>
        <v>0</v>
      </c>
      <c r="J149" s="281">
        <f>J148-J147</f>
        <v>0</v>
      </c>
      <c r="K149" s="281">
        <f t="shared" ref="K149:Q149" si="57">K148-K147</f>
        <v>0</v>
      </c>
      <c r="L149" s="281">
        <f t="shared" si="57"/>
        <v>0</v>
      </c>
      <c r="M149" s="281">
        <f t="shared" si="57"/>
        <v>0</v>
      </c>
      <c r="N149" s="281">
        <f t="shared" si="57"/>
        <v>0</v>
      </c>
      <c r="O149" s="281">
        <f t="shared" si="57"/>
        <v>0</v>
      </c>
      <c r="P149" s="281">
        <f t="shared" si="57"/>
        <v>0</v>
      </c>
      <c r="Q149" s="281">
        <f t="shared" si="57"/>
        <v>0</v>
      </c>
    </row>
    <row r="150" spans="2:19" s="262" customFormat="1" hidden="1" x14ac:dyDescent="0.2"/>
    <row r="151" spans="2:19" s="262" customFormat="1" hidden="1" x14ac:dyDescent="0.2">
      <c r="B151" s="268"/>
      <c r="C151" s="268"/>
      <c r="D151" s="268"/>
      <c r="E151" s="281">
        <f>NPV(Assumptions!$D$3,J147:Q147)</f>
        <v>0</v>
      </c>
    </row>
    <row r="152" spans="2:19" s="262" customFormat="1" hidden="1" x14ac:dyDescent="0.2">
      <c r="B152" s="268"/>
      <c r="C152" s="268"/>
      <c r="D152" s="268"/>
      <c r="E152" s="281">
        <f>NPV(Assumptions!$D$3,J148:Q148)</f>
        <v>0</v>
      </c>
    </row>
    <row r="153" spans="2:19" s="262" customFormat="1" hidden="1" x14ac:dyDescent="0.2">
      <c r="B153" s="268"/>
      <c r="C153" s="268"/>
      <c r="D153" s="268"/>
      <c r="E153" s="281">
        <f>E152-E151</f>
        <v>0</v>
      </c>
    </row>
    <row r="154" spans="2:19" hidden="1" x14ac:dyDescent="0.2"/>
    <row r="155" spans="2:19" x14ac:dyDescent="0.2">
      <c r="B155" s="11" t="s">
        <v>102</v>
      </c>
      <c r="C155" s="11"/>
      <c r="D155" s="11"/>
      <c r="E155" s="3" t="s">
        <v>12</v>
      </c>
      <c r="F155" s="3" t="s">
        <v>13</v>
      </c>
      <c r="G155" s="3" t="s">
        <v>14</v>
      </c>
      <c r="H155" s="3" t="s">
        <v>15</v>
      </c>
      <c r="I155" s="3" t="s">
        <v>16</v>
      </c>
      <c r="J155" s="3" t="s">
        <v>17</v>
      </c>
      <c r="K155" s="3" t="s">
        <v>18</v>
      </c>
      <c r="L155" s="3" t="s">
        <v>19</v>
      </c>
      <c r="M155" s="77" t="s">
        <v>20</v>
      </c>
      <c r="N155" s="3" t="s">
        <v>21</v>
      </c>
      <c r="O155" s="3" t="s">
        <v>22</v>
      </c>
      <c r="P155" s="3" t="s">
        <v>23</v>
      </c>
      <c r="Q155" s="3" t="s">
        <v>24</v>
      </c>
    </row>
    <row r="156" spans="2:19" x14ac:dyDescent="0.2">
      <c r="B156" s="10" t="s">
        <v>100</v>
      </c>
      <c r="C156" s="10"/>
      <c r="D156" s="10"/>
      <c r="E156" s="243">
        <f>Baseline!E23</f>
        <v>0</v>
      </c>
      <c r="F156" s="49">
        <f>Baseline!F23</f>
        <v>0</v>
      </c>
      <c r="G156" s="49">
        <f>Baseline!G23</f>
        <v>0</v>
      </c>
      <c r="H156" s="49">
        <f>Baseline!H23</f>
        <v>0</v>
      </c>
      <c r="I156" s="49">
        <f>Baseline!I23</f>
        <v>0</v>
      </c>
      <c r="J156" s="49">
        <f>Baseline!J23</f>
        <v>7.33088138557179E-2</v>
      </c>
      <c r="K156" s="49">
        <f>Baseline!K23</f>
        <v>0.12424406333115881</v>
      </c>
      <c r="L156" s="49">
        <f>Baseline!L23</f>
        <v>0.12290987737497053</v>
      </c>
      <c r="M156" s="94">
        <f>Baseline!M23</f>
        <v>0.11643109887944895</v>
      </c>
      <c r="N156" s="49">
        <f>Baseline!N23</f>
        <v>0.11541171638866259</v>
      </c>
      <c r="O156" s="49">
        <f>Baseline!O23</f>
        <v>0.11443097571226979</v>
      </c>
      <c r="P156" s="49">
        <f>Baseline!P23</f>
        <v>0.11886552423393439</v>
      </c>
      <c r="Q156" s="50">
        <f>Baseline!Q23</f>
        <v>0.11155667804596497</v>
      </c>
      <c r="S156" s="167"/>
    </row>
    <row r="157" spans="2:19" x14ac:dyDescent="0.2">
      <c r="B157" s="10" t="s">
        <v>101</v>
      </c>
      <c r="C157" s="10"/>
      <c r="D157" s="10"/>
      <c r="E157" s="244">
        <f t="shared" ref="E157:I157" si="58">(E101-E107)/(E102-E108)</f>
        <v>0</v>
      </c>
      <c r="F157" s="51">
        <f t="shared" si="58"/>
        <v>0</v>
      </c>
      <c r="G157" s="51">
        <f t="shared" si="58"/>
        <v>0</v>
      </c>
      <c r="H157" s="51">
        <f t="shared" si="58"/>
        <v>0</v>
      </c>
      <c r="I157" s="51">
        <f t="shared" si="58"/>
        <v>0</v>
      </c>
      <c r="J157" s="51">
        <f>(J101-J107)/(J102-J108)</f>
        <v>7.33088138557179E-2</v>
      </c>
      <c r="K157" s="51">
        <f t="shared" ref="K157:Q157" si="59">(K101-K107)/(K102-K108)</f>
        <v>0.12424406333115881</v>
      </c>
      <c r="L157" s="51">
        <f t="shared" si="59"/>
        <v>0.12290987737497053</v>
      </c>
      <c r="M157" s="95">
        <f t="shared" si="59"/>
        <v>0.11643109887944895</v>
      </c>
      <c r="N157" s="51">
        <f t="shared" si="59"/>
        <v>0.11541171638866259</v>
      </c>
      <c r="O157" s="51">
        <f t="shared" si="59"/>
        <v>0.11420282040867981</v>
      </c>
      <c r="P157" s="51">
        <f t="shared" si="59"/>
        <v>0.11886552423393439</v>
      </c>
      <c r="Q157" s="52">
        <f t="shared" si="59"/>
        <v>0.11155667804596497</v>
      </c>
    </row>
    <row r="158" spans="2:19" x14ac:dyDescent="0.2">
      <c r="B158" s="10" t="s">
        <v>87</v>
      </c>
      <c r="C158" s="10"/>
      <c r="D158" s="10"/>
      <c r="E158" s="53">
        <f t="shared" ref="E158:I158" si="60">E157-E156</f>
        <v>0</v>
      </c>
      <c r="F158" s="54">
        <f t="shared" si="60"/>
        <v>0</v>
      </c>
      <c r="G158" s="54">
        <f t="shared" si="60"/>
        <v>0</v>
      </c>
      <c r="H158" s="54">
        <f t="shared" si="60"/>
        <v>0</v>
      </c>
      <c r="I158" s="54">
        <f t="shared" si="60"/>
        <v>0</v>
      </c>
      <c r="J158" s="54">
        <f>J157-J156</f>
        <v>0</v>
      </c>
      <c r="K158" s="54">
        <f t="shared" ref="K158:Q158" si="61">K157-K156</f>
        <v>0</v>
      </c>
      <c r="L158" s="54">
        <f t="shared" si="61"/>
        <v>0</v>
      </c>
      <c r="M158" s="93">
        <f t="shared" si="61"/>
        <v>0</v>
      </c>
      <c r="N158" s="54">
        <f t="shared" si="61"/>
        <v>0</v>
      </c>
      <c r="O158" s="54">
        <f t="shared" si="61"/>
        <v>-2.2815530358998026E-4</v>
      </c>
      <c r="P158" s="54">
        <f t="shared" si="61"/>
        <v>0</v>
      </c>
      <c r="Q158" s="55">
        <f t="shared" si="61"/>
        <v>0</v>
      </c>
    </row>
  </sheetData>
  <conditionalFormatting sqref="E37:Q38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S192"/>
  <sheetViews>
    <sheetView showGridLines="0" topLeftCell="A150" zoomScale="130" zoomScaleNormal="130" workbookViewId="0">
      <selection activeCell="F196" sqref="F196"/>
    </sheetView>
  </sheetViews>
  <sheetFormatPr defaultRowHeight="12" outlineLevelRow="1" x14ac:dyDescent="0.2"/>
  <cols>
    <col min="1" max="1" width="1.7109375" style="1" customWidth="1"/>
    <col min="2" max="2" width="41.140625" style="1" bestFit="1" customWidth="1"/>
    <col min="3" max="4" width="1.7109375" style="1" customWidth="1"/>
    <col min="5" max="12" width="10.7109375" style="1" customWidth="1"/>
    <col min="13" max="13" width="10.7109375" style="7" customWidth="1"/>
    <col min="14" max="17" width="10.7109375" style="1" customWidth="1"/>
    <col min="18" max="18" width="1.7109375" style="1" customWidth="1"/>
    <col min="19" max="16384" width="9.140625" style="1"/>
  </cols>
  <sheetData>
    <row r="1" spans="2:19" x14ac:dyDescent="0.2">
      <c r="B1" s="16"/>
      <c r="C1" s="16"/>
      <c r="D1" s="16"/>
    </row>
    <row r="2" spans="2:19" x14ac:dyDescent="0.2">
      <c r="B2" s="11" t="s">
        <v>77</v>
      </c>
      <c r="C2" s="11"/>
      <c r="D2" s="11"/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77" t="s">
        <v>20</v>
      </c>
      <c r="N2" s="3" t="s">
        <v>21</v>
      </c>
      <c r="O2" s="3" t="s">
        <v>22</v>
      </c>
      <c r="P2" s="3" t="s">
        <v>23</v>
      </c>
      <c r="Q2" s="3" t="s">
        <v>24</v>
      </c>
    </row>
    <row r="3" spans="2:19" x14ac:dyDescent="0.2">
      <c r="B3" s="18" t="s">
        <v>32</v>
      </c>
      <c r="C3" s="18"/>
      <c r="D3" s="18"/>
      <c r="E3" s="173">
        <f>Baseline!E47</f>
        <v>17273.25</v>
      </c>
      <c r="F3" s="174">
        <f>Baseline!F47</f>
        <v>18494.001</v>
      </c>
      <c r="G3" s="174">
        <f>Baseline!G47</f>
        <v>19141.291034999995</v>
      </c>
      <c r="H3" s="174">
        <f>Baseline!H47</f>
        <v>19811.236221224997</v>
      </c>
      <c r="I3" s="174">
        <f>Baseline!I47</f>
        <v>20504.629488967868</v>
      </c>
      <c r="J3" s="174">
        <f>Baseline!J47</f>
        <v>24429.124715153932</v>
      </c>
      <c r="K3" s="174">
        <f>Baseline!K47</f>
        <v>26944.385543360168</v>
      </c>
      <c r="L3" s="174">
        <f>Baseline!L47</f>
        <v>27887.439037377771</v>
      </c>
      <c r="M3" s="174">
        <f>Baseline!M47</f>
        <v>28863.499403685993</v>
      </c>
      <c r="N3" s="174">
        <f>Baseline!N47</f>
        <v>29873.721882815</v>
      </c>
      <c r="O3" s="174">
        <f>Baseline!O47</f>
        <v>30919.302148713523</v>
      </c>
      <c r="P3" s="174">
        <f>Baseline!P47</f>
        <v>32001.477723918491</v>
      </c>
      <c r="Q3" s="190">
        <f>Baseline!Q47</f>
        <v>33121.529444255641</v>
      </c>
    </row>
    <row r="4" spans="2:19" x14ac:dyDescent="0.2">
      <c r="B4" s="18" t="s">
        <v>33</v>
      </c>
      <c r="C4" s="18"/>
      <c r="D4" s="18"/>
      <c r="E4" s="155">
        <f>Baseline!E48</f>
        <v>50005</v>
      </c>
      <c r="F4" s="156">
        <f>Baseline!F48</f>
        <v>54268.625</v>
      </c>
      <c r="G4" s="156">
        <f>Baseline!G48</f>
        <v>55625.34062499999</v>
      </c>
      <c r="H4" s="156">
        <f>Baseline!H48</f>
        <v>57015.974140624974</v>
      </c>
      <c r="I4" s="156">
        <f>Baseline!I48</f>
        <v>58441.373494140593</v>
      </c>
      <c r="J4" s="156">
        <f>Baseline!J48</f>
        <v>73213.425456152312</v>
      </c>
      <c r="K4" s="156">
        <f>Baseline!K48</f>
        <v>81868.556858738972</v>
      </c>
      <c r="L4" s="156">
        <f>Baseline!L48</f>
        <v>83915.270780207429</v>
      </c>
      <c r="M4" s="156">
        <f>Baseline!M48</f>
        <v>86013.152549712613</v>
      </c>
      <c r="N4" s="156">
        <f>Baseline!N48</f>
        <v>88163.481363455416</v>
      </c>
      <c r="O4" s="156">
        <f>Baseline!O48</f>
        <v>90367.568397541792</v>
      </c>
      <c r="P4" s="156">
        <f>Baseline!P48</f>
        <v>92626.757607480336</v>
      </c>
      <c r="Q4" s="157">
        <f>Baseline!Q48</f>
        <v>94942.426547667332</v>
      </c>
    </row>
    <row r="5" spans="2:19" x14ac:dyDescent="0.2">
      <c r="B5" s="18" t="s">
        <v>34</v>
      </c>
      <c r="C5" s="18"/>
      <c r="D5" s="18"/>
      <c r="E5" s="155">
        <f>Baseline!E49</f>
        <v>58597.875000000007</v>
      </c>
      <c r="F5" s="156">
        <f>Baseline!F49</f>
        <v>67966.187000000005</v>
      </c>
      <c r="G5" s="156">
        <f>Baseline!G49</f>
        <v>68324.684170000008</v>
      </c>
      <c r="H5" s="156">
        <f>Baseline!H49</f>
        <v>68679.394819075023</v>
      </c>
      <c r="I5" s="156">
        <f>Baseline!I49</f>
        <v>67184.998508445773</v>
      </c>
      <c r="J5" s="156">
        <f>Baseline!J49</f>
        <v>71496.22491434688</v>
      </c>
      <c r="K5" s="156">
        <f>Baseline!K49</f>
        <v>76960.528798950429</v>
      </c>
      <c r="L5" s="156">
        <f>Baseline!L49</f>
        <v>77524.645091207407</v>
      </c>
      <c r="M5" s="156">
        <f>Baseline!M49</f>
        <v>74645.1740233007</v>
      </c>
      <c r="N5" s="156">
        <f>Baseline!N49</f>
        <v>75087.898376864789</v>
      </c>
      <c r="O5" s="156">
        <f>Baseline!O49</f>
        <v>75519.564726872341</v>
      </c>
      <c r="P5" s="156">
        <f>Baseline!P49</f>
        <v>76566.882334300579</v>
      </c>
      <c r="Q5" s="157">
        <f>Baseline!Q49</f>
        <v>73885.522004038517</v>
      </c>
    </row>
    <row r="6" spans="2:19" x14ac:dyDescent="0.2">
      <c r="B6" s="18" t="s">
        <v>35</v>
      </c>
      <c r="C6" s="18"/>
      <c r="D6" s="18"/>
      <c r="E6" s="155">
        <f>Baseline!E50</f>
        <v>58597.875</v>
      </c>
      <c r="F6" s="156">
        <f>Baseline!F50</f>
        <v>67966.187000000005</v>
      </c>
      <c r="G6" s="156">
        <f>Baseline!G50</f>
        <v>68324.684170000008</v>
      </c>
      <c r="H6" s="156">
        <f>Baseline!H50</f>
        <v>68679.394819075023</v>
      </c>
      <c r="I6" s="156">
        <f>Baseline!I50</f>
        <v>67184.998508445773</v>
      </c>
      <c r="J6" s="156">
        <f>Baseline!J50</f>
        <v>71496.22491434688</v>
      </c>
      <c r="K6" s="156">
        <f>Baseline!K50</f>
        <v>76960.528798950429</v>
      </c>
      <c r="L6" s="156">
        <f>Baseline!L50</f>
        <v>77524.645091207407</v>
      </c>
      <c r="M6" s="156">
        <f>Baseline!M50</f>
        <v>74645.1740233007</v>
      </c>
      <c r="N6" s="156">
        <f>Baseline!N50</f>
        <v>75087.898376864789</v>
      </c>
      <c r="O6" s="156">
        <f>Baseline!O50</f>
        <v>75519.564726872355</v>
      </c>
      <c r="P6" s="156">
        <f>Baseline!P50</f>
        <v>76566.882334300579</v>
      </c>
      <c r="Q6" s="157">
        <f>Baseline!Q50</f>
        <v>73885.522004038517</v>
      </c>
    </row>
    <row r="7" spans="2:19" x14ac:dyDescent="0.2">
      <c r="B7" s="11" t="s">
        <v>81</v>
      </c>
      <c r="C7" s="11"/>
      <c r="D7" s="11"/>
      <c r="E7" s="31">
        <f>SUM(E3:E6)</f>
        <v>184474</v>
      </c>
      <c r="F7" s="32">
        <f t="shared" ref="F7:Q7" si="0">SUM(F3:F6)</f>
        <v>208695.00000000003</v>
      </c>
      <c r="G7" s="32">
        <f t="shared" si="0"/>
        <v>211416</v>
      </c>
      <c r="H7" s="32">
        <f t="shared" si="0"/>
        <v>214186</v>
      </c>
      <c r="I7" s="32">
        <f t="shared" si="0"/>
        <v>213316</v>
      </c>
      <c r="J7" s="32">
        <f t="shared" si="0"/>
        <v>240635</v>
      </c>
      <c r="K7" s="32">
        <f t="shared" si="0"/>
        <v>262734</v>
      </c>
      <c r="L7" s="32">
        <f t="shared" si="0"/>
        <v>266852</v>
      </c>
      <c r="M7" s="91">
        <f t="shared" si="0"/>
        <v>264167</v>
      </c>
      <c r="N7" s="32">
        <f t="shared" si="0"/>
        <v>268213</v>
      </c>
      <c r="O7" s="32">
        <f t="shared" si="0"/>
        <v>272326</v>
      </c>
      <c r="P7" s="32">
        <f t="shared" si="0"/>
        <v>277762</v>
      </c>
      <c r="Q7" s="33">
        <f t="shared" si="0"/>
        <v>275835</v>
      </c>
    </row>
    <row r="9" spans="2:19" collapsed="1" x14ac:dyDescent="0.2">
      <c r="B9" s="76" t="s">
        <v>92</v>
      </c>
      <c r="C9" s="76"/>
      <c r="D9" s="76"/>
      <c r="E9" s="77" t="s">
        <v>12</v>
      </c>
      <c r="F9" s="77" t="s">
        <v>13</v>
      </c>
      <c r="G9" s="77" t="s">
        <v>14</v>
      </c>
      <c r="H9" s="77" t="s">
        <v>15</v>
      </c>
      <c r="I9" s="77" t="s">
        <v>16</v>
      </c>
      <c r="J9" s="77" t="s">
        <v>17</v>
      </c>
      <c r="K9" s="77" t="s">
        <v>18</v>
      </c>
      <c r="L9" s="77" t="s">
        <v>19</v>
      </c>
      <c r="M9" s="77" t="s">
        <v>20</v>
      </c>
      <c r="N9" s="77" t="s">
        <v>21</v>
      </c>
      <c r="O9" s="77" t="s">
        <v>22</v>
      </c>
      <c r="P9" s="77" t="s">
        <v>23</v>
      </c>
      <c r="Q9" s="77" t="s">
        <v>24</v>
      </c>
      <c r="S9" s="167"/>
    </row>
    <row r="10" spans="2:19" hidden="1" outlineLevel="1" x14ac:dyDescent="0.2">
      <c r="B10" s="78" t="s">
        <v>48</v>
      </c>
      <c r="C10" s="78"/>
      <c r="D10" s="78"/>
      <c r="E10" s="173">
        <f>Assumptions!E23</f>
        <v>28588950</v>
      </c>
      <c r="F10" s="173">
        <f>Assumptions!F23</f>
        <v>28588950</v>
      </c>
      <c r="G10" s="173">
        <f>Assumptions!G23</f>
        <v>28588950</v>
      </c>
      <c r="H10" s="173">
        <f>Assumptions!H23</f>
        <v>28588950</v>
      </c>
      <c r="I10" s="173">
        <f>Assumptions!I23</f>
        <v>28588950</v>
      </c>
      <c r="J10" s="173">
        <f>Assumptions!J23</f>
        <v>28588950</v>
      </c>
      <c r="K10" s="173">
        <f>Assumptions!K23</f>
        <v>28588950</v>
      </c>
      <c r="L10" s="173">
        <f>Assumptions!L23</f>
        <v>28588950</v>
      </c>
      <c r="M10" s="173">
        <f>Assumptions!M23</f>
        <v>28588950</v>
      </c>
      <c r="N10" s="173">
        <f>Assumptions!N23</f>
        <v>28588950</v>
      </c>
      <c r="O10" s="173">
        <f>Assumptions!O23</f>
        <v>28588950</v>
      </c>
      <c r="P10" s="173">
        <f>Assumptions!P23</f>
        <v>28588950</v>
      </c>
      <c r="Q10" s="191">
        <f>Assumptions!Q23</f>
        <v>28588950</v>
      </c>
    </row>
    <row r="11" spans="2:19" hidden="1" outlineLevel="1" x14ac:dyDescent="0.2">
      <c r="B11" s="78" t="s">
        <v>49</v>
      </c>
      <c r="C11" s="78"/>
      <c r="D11" s="78"/>
      <c r="E11" s="155">
        <f>Assumptions!E24</f>
        <v>14118</v>
      </c>
      <c r="F11" s="155">
        <f>Assumptions!F24</f>
        <v>14118</v>
      </c>
      <c r="G11" s="155">
        <f>Assumptions!G24</f>
        <v>14118</v>
      </c>
      <c r="H11" s="155">
        <f>Assumptions!H24</f>
        <v>14118</v>
      </c>
      <c r="I11" s="155">
        <f>Assumptions!I24</f>
        <v>14118</v>
      </c>
      <c r="J11" s="155">
        <f>Assumptions!J24</f>
        <v>14118</v>
      </c>
      <c r="K11" s="155">
        <f>Assumptions!K24</f>
        <v>14118</v>
      </c>
      <c r="L11" s="155">
        <f>Assumptions!L24</f>
        <v>14118</v>
      </c>
      <c r="M11" s="155">
        <f>Assumptions!M24</f>
        <v>14118</v>
      </c>
      <c r="N11" s="155">
        <f>Assumptions!N24</f>
        <v>14118</v>
      </c>
      <c r="O11" s="155">
        <f>Assumptions!O24</f>
        <v>14118</v>
      </c>
      <c r="P11" s="155">
        <f>Assumptions!P24</f>
        <v>14118</v>
      </c>
      <c r="Q11" s="192">
        <f>Assumptions!Q24</f>
        <v>14118</v>
      </c>
    </row>
    <row r="12" spans="2:19" hidden="1" outlineLevel="1" x14ac:dyDescent="0.2">
      <c r="B12" s="78" t="s">
        <v>50</v>
      </c>
      <c r="C12" s="78"/>
      <c r="D12" s="78"/>
      <c r="E12" s="155">
        <f>Assumptions!E25</f>
        <v>18000000</v>
      </c>
      <c r="F12" s="155">
        <f>Assumptions!F25</f>
        <v>18000000</v>
      </c>
      <c r="G12" s="155">
        <f>Assumptions!G25</f>
        <v>18000000</v>
      </c>
      <c r="H12" s="155">
        <f>Assumptions!H25</f>
        <v>18000000</v>
      </c>
      <c r="I12" s="155">
        <f>Assumptions!I25</f>
        <v>18000000</v>
      </c>
      <c r="J12" s="155">
        <f>Assumptions!J25</f>
        <v>18000000</v>
      </c>
      <c r="K12" s="155">
        <f>Assumptions!K25</f>
        <v>18000000</v>
      </c>
      <c r="L12" s="155">
        <f>Assumptions!L25</f>
        <v>18000000</v>
      </c>
      <c r="M12" s="155">
        <f>Assumptions!M25</f>
        <v>18000000</v>
      </c>
      <c r="N12" s="155">
        <f>Assumptions!N25</f>
        <v>18000000</v>
      </c>
      <c r="O12" s="155">
        <f>Assumptions!O25</f>
        <v>18000000</v>
      </c>
      <c r="P12" s="155">
        <f>Assumptions!P25</f>
        <v>18000000</v>
      </c>
      <c r="Q12" s="192">
        <f>Assumptions!Q25</f>
        <v>18000000</v>
      </c>
    </row>
    <row r="13" spans="2:19" hidden="1" outlineLevel="1" x14ac:dyDescent="0.2">
      <c r="B13" s="78" t="s">
        <v>51</v>
      </c>
      <c r="C13" s="78"/>
      <c r="D13" s="78"/>
      <c r="E13" s="124">
        <f>Assumptions!E26</f>
        <v>60000000</v>
      </c>
      <c r="F13" s="124">
        <f>Assumptions!F26</f>
        <v>60000000</v>
      </c>
      <c r="G13" s="124">
        <f>Assumptions!G26</f>
        <v>60000000</v>
      </c>
      <c r="H13" s="124">
        <f>Assumptions!H26</f>
        <v>60000000</v>
      </c>
      <c r="I13" s="124">
        <f>Assumptions!I26</f>
        <v>60000000</v>
      </c>
      <c r="J13" s="124">
        <f>Assumptions!J26</f>
        <v>60000000</v>
      </c>
      <c r="K13" s="124">
        <f>Assumptions!K26</f>
        <v>60000000</v>
      </c>
      <c r="L13" s="124">
        <f>Assumptions!L26</f>
        <v>60000000</v>
      </c>
      <c r="M13" s="124">
        <f>Assumptions!M26</f>
        <v>60000000</v>
      </c>
      <c r="N13" s="124">
        <f>Assumptions!N26</f>
        <v>60000000</v>
      </c>
      <c r="O13" s="124">
        <f>Assumptions!O26</f>
        <v>60000000</v>
      </c>
      <c r="P13" s="124">
        <f>Assumptions!P26</f>
        <v>60000000</v>
      </c>
      <c r="Q13" s="193">
        <f>Assumptions!Q26</f>
        <v>60000000</v>
      </c>
    </row>
    <row r="14" spans="2:19" hidden="1" outlineLevel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N14" s="7"/>
      <c r="O14" s="7"/>
      <c r="P14" s="7"/>
      <c r="Q14" s="7"/>
    </row>
    <row r="15" spans="2:19" hidden="1" outlineLevel="1" x14ac:dyDescent="0.2">
      <c r="B15" s="78" t="s">
        <v>52</v>
      </c>
      <c r="C15" s="78"/>
      <c r="D15" s="78"/>
      <c r="E15" s="173">
        <f>Assumptions!E29</f>
        <v>5957550</v>
      </c>
      <c r="F15" s="173">
        <f>Assumptions!F29</f>
        <v>7148250</v>
      </c>
      <c r="G15" s="173">
        <f>Assumptions!G29</f>
        <v>7148250</v>
      </c>
      <c r="H15" s="173">
        <f>Assumptions!H29</f>
        <v>7148250</v>
      </c>
      <c r="I15" s="173">
        <f>Assumptions!I29</f>
        <v>7148250</v>
      </c>
      <c r="J15" s="173">
        <f>Assumptions!J29</f>
        <v>7148250</v>
      </c>
      <c r="K15" s="173">
        <f>Assumptions!K29</f>
        <v>7148250</v>
      </c>
      <c r="L15" s="173">
        <f>Assumptions!L29</f>
        <v>7148250</v>
      </c>
      <c r="M15" s="173">
        <f>Assumptions!M29</f>
        <v>7148250</v>
      </c>
      <c r="N15" s="173">
        <f>Assumptions!N29</f>
        <v>7148250</v>
      </c>
      <c r="O15" s="173">
        <f>Assumptions!O29</f>
        <v>7148250</v>
      </c>
      <c r="P15" s="173">
        <f>Assumptions!P29</f>
        <v>7148250</v>
      </c>
      <c r="Q15" s="191">
        <f>Assumptions!Q29</f>
        <v>7148250</v>
      </c>
    </row>
    <row r="16" spans="2:19" hidden="1" outlineLevel="1" x14ac:dyDescent="0.2">
      <c r="B16" s="78" t="s">
        <v>53</v>
      </c>
      <c r="C16" s="78"/>
      <c r="D16" s="78"/>
      <c r="E16" s="155">
        <f>Assumptions!E30</f>
        <v>5884</v>
      </c>
      <c r="F16" s="155">
        <f>Assumptions!F30</f>
        <v>7060</v>
      </c>
      <c r="G16" s="155">
        <f>Assumptions!G30</f>
        <v>7060</v>
      </c>
      <c r="H16" s="155">
        <f>Assumptions!H30</f>
        <v>7060</v>
      </c>
      <c r="I16" s="155">
        <f>Assumptions!I30</f>
        <v>7060</v>
      </c>
      <c r="J16" s="155">
        <f>Assumptions!J30</f>
        <v>7060</v>
      </c>
      <c r="K16" s="155">
        <f>Assumptions!K30</f>
        <v>7060</v>
      </c>
      <c r="L16" s="155">
        <f>Assumptions!L30</f>
        <v>7060</v>
      </c>
      <c r="M16" s="155">
        <f>Assumptions!M30</f>
        <v>7060</v>
      </c>
      <c r="N16" s="155">
        <f>Assumptions!N30</f>
        <v>7060</v>
      </c>
      <c r="O16" s="155">
        <f>Assumptions!O30</f>
        <v>7060</v>
      </c>
      <c r="P16" s="155">
        <f>Assumptions!P30</f>
        <v>7060</v>
      </c>
      <c r="Q16" s="192">
        <f>Assumptions!Q30</f>
        <v>7060</v>
      </c>
    </row>
    <row r="17" spans="2:17" hidden="1" outlineLevel="1" x14ac:dyDescent="0.2">
      <c r="B17" s="78" t="s">
        <v>54</v>
      </c>
      <c r="C17" s="78"/>
      <c r="D17" s="78"/>
      <c r="E17" s="155">
        <f>Assumptions!E31</f>
        <v>3750000</v>
      </c>
      <c r="F17" s="155">
        <f>Assumptions!F31</f>
        <v>4500000</v>
      </c>
      <c r="G17" s="155">
        <f>Assumptions!G31</f>
        <v>4500000</v>
      </c>
      <c r="H17" s="155">
        <f>Assumptions!H31</f>
        <v>4500000</v>
      </c>
      <c r="I17" s="155">
        <f>Assumptions!I31</f>
        <v>4500000</v>
      </c>
      <c r="J17" s="155">
        <f>Assumptions!J31</f>
        <v>4500000</v>
      </c>
      <c r="K17" s="155">
        <f>Assumptions!K31</f>
        <v>4500000</v>
      </c>
      <c r="L17" s="155">
        <f>Assumptions!L31</f>
        <v>4500000</v>
      </c>
      <c r="M17" s="155">
        <f>Assumptions!M31</f>
        <v>4500000</v>
      </c>
      <c r="N17" s="155">
        <f>Assumptions!N31</f>
        <v>4500000</v>
      </c>
      <c r="O17" s="155">
        <f>Assumptions!O31</f>
        <v>4500000</v>
      </c>
      <c r="P17" s="155">
        <f>Assumptions!P31</f>
        <v>4500000</v>
      </c>
      <c r="Q17" s="192">
        <f>Assumptions!Q31</f>
        <v>4500000</v>
      </c>
    </row>
    <row r="18" spans="2:17" hidden="1" outlineLevel="1" x14ac:dyDescent="0.2">
      <c r="B18" s="78" t="s">
        <v>55</v>
      </c>
      <c r="C18" s="78"/>
      <c r="D18" s="78"/>
      <c r="E18" s="124">
        <f>Assumptions!E32</f>
        <v>25000000</v>
      </c>
      <c r="F18" s="124">
        <f>Assumptions!F32</f>
        <v>30000000</v>
      </c>
      <c r="G18" s="124">
        <f>Assumptions!G32</f>
        <v>30000000</v>
      </c>
      <c r="H18" s="124">
        <f>Assumptions!H32</f>
        <v>30000000</v>
      </c>
      <c r="I18" s="124">
        <f>Assumptions!I32</f>
        <v>30000000</v>
      </c>
      <c r="J18" s="124">
        <f>Assumptions!J32</f>
        <v>30000000</v>
      </c>
      <c r="K18" s="124">
        <f>Assumptions!K32</f>
        <v>30000000</v>
      </c>
      <c r="L18" s="124">
        <f>Assumptions!L32</f>
        <v>30000000</v>
      </c>
      <c r="M18" s="124">
        <f>Assumptions!M32</f>
        <v>30000000</v>
      </c>
      <c r="N18" s="124">
        <f>Assumptions!N32</f>
        <v>30000000</v>
      </c>
      <c r="O18" s="124">
        <f>Assumptions!O32</f>
        <v>30000000</v>
      </c>
      <c r="P18" s="124">
        <f>Assumptions!P32</f>
        <v>30000000</v>
      </c>
      <c r="Q18" s="193">
        <f>Assumptions!Q32</f>
        <v>30000000</v>
      </c>
    </row>
    <row r="19" spans="2:17" hidden="1" outlineLevel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N19" s="7"/>
      <c r="O19" s="7"/>
      <c r="P19" s="7"/>
      <c r="Q19" s="7"/>
    </row>
    <row r="20" spans="2:17" hidden="1" outlineLevel="1" x14ac:dyDescent="0.2">
      <c r="B20" s="78" t="s">
        <v>56</v>
      </c>
      <c r="C20" s="78"/>
      <c r="D20" s="78"/>
      <c r="E20" s="173">
        <f>Assumptions!E35</f>
        <v>0</v>
      </c>
      <c r="F20" s="174">
        <f>Assumptions!F35</f>
        <v>0</v>
      </c>
      <c r="G20" s="174">
        <f>Assumptions!G35</f>
        <v>0</v>
      </c>
      <c r="H20" s="174">
        <f>Assumptions!H35</f>
        <v>0</v>
      </c>
      <c r="I20" s="174">
        <f>Assumptions!I35</f>
        <v>0</v>
      </c>
      <c r="J20" s="174">
        <f>Assumptions!J35</f>
        <v>5400135</v>
      </c>
      <c r="K20" s="174">
        <f>Assumptions!K35</f>
        <v>8101350</v>
      </c>
      <c r="L20" s="174">
        <f>Assumptions!L35</f>
        <v>8101350</v>
      </c>
      <c r="M20" s="174">
        <f>Assumptions!M35</f>
        <v>8101350</v>
      </c>
      <c r="N20" s="174">
        <f>Assumptions!N35</f>
        <v>8101350</v>
      </c>
      <c r="O20" s="174">
        <f>Assumptions!O35</f>
        <v>8101350</v>
      </c>
      <c r="P20" s="174">
        <f>Assumptions!P35</f>
        <v>8101350</v>
      </c>
      <c r="Q20" s="190">
        <f>Assumptions!Q35</f>
        <v>8101350</v>
      </c>
    </row>
    <row r="21" spans="2:17" hidden="1" outlineLevel="1" x14ac:dyDescent="0.2">
      <c r="B21" s="78" t="s">
        <v>57</v>
      </c>
      <c r="C21" s="78"/>
      <c r="D21" s="78"/>
      <c r="E21" s="155">
        <f>Assumptions!E36</f>
        <v>0</v>
      </c>
      <c r="F21" s="156">
        <f>Assumptions!F36</f>
        <v>0</v>
      </c>
      <c r="G21" s="156">
        <f>Assumptions!G36</f>
        <v>0</v>
      </c>
      <c r="H21" s="156">
        <f>Assumptions!H36</f>
        <v>0</v>
      </c>
      <c r="I21" s="156">
        <f>Assumptions!I36</f>
        <v>0</v>
      </c>
      <c r="J21" s="156">
        <f>Assumptions!J36</f>
        <v>4706</v>
      </c>
      <c r="K21" s="156">
        <f>Assumptions!K36</f>
        <v>7060</v>
      </c>
      <c r="L21" s="156">
        <f>Assumptions!L36</f>
        <v>7060</v>
      </c>
      <c r="M21" s="156">
        <f>Assumptions!M36</f>
        <v>7060</v>
      </c>
      <c r="N21" s="156">
        <f>Assumptions!N36</f>
        <v>7060</v>
      </c>
      <c r="O21" s="156">
        <f>Assumptions!O36</f>
        <v>7060</v>
      </c>
      <c r="P21" s="156">
        <f>Assumptions!P36</f>
        <v>7060</v>
      </c>
      <c r="Q21" s="157">
        <f>Assumptions!Q36</f>
        <v>7060</v>
      </c>
    </row>
    <row r="22" spans="2:17" hidden="1" outlineLevel="1" x14ac:dyDescent="0.2">
      <c r="B22" s="78" t="s">
        <v>58</v>
      </c>
      <c r="C22" s="78"/>
      <c r="D22" s="78"/>
      <c r="E22" s="155">
        <f>Assumptions!E37</f>
        <v>0</v>
      </c>
      <c r="F22" s="156">
        <f>Assumptions!F37</f>
        <v>0</v>
      </c>
      <c r="G22" s="156">
        <f>Assumptions!G37</f>
        <v>0</v>
      </c>
      <c r="H22" s="156">
        <f>Assumptions!H37</f>
        <v>0</v>
      </c>
      <c r="I22" s="156">
        <f>Assumptions!I37</f>
        <v>0</v>
      </c>
      <c r="J22" s="156">
        <f>Assumptions!J37</f>
        <v>3400000</v>
      </c>
      <c r="K22" s="156">
        <f>Assumptions!K37</f>
        <v>5100000</v>
      </c>
      <c r="L22" s="156">
        <f>Assumptions!L37</f>
        <v>5100000</v>
      </c>
      <c r="M22" s="156">
        <f>Assumptions!M37</f>
        <v>5100000</v>
      </c>
      <c r="N22" s="156">
        <f>Assumptions!N37</f>
        <v>5100000</v>
      </c>
      <c r="O22" s="156">
        <f>Assumptions!O37</f>
        <v>5100000</v>
      </c>
      <c r="P22" s="156">
        <f>Assumptions!P37</f>
        <v>5100000</v>
      </c>
      <c r="Q22" s="157">
        <f>Assumptions!Q37</f>
        <v>5100000</v>
      </c>
    </row>
    <row r="23" spans="2:17" hidden="1" outlineLevel="1" x14ac:dyDescent="0.2">
      <c r="B23" s="78" t="s">
        <v>59</v>
      </c>
      <c r="C23" s="78"/>
      <c r="D23" s="78"/>
      <c r="E23" s="124">
        <f>Assumptions!E38</f>
        <v>0</v>
      </c>
      <c r="F23" s="125">
        <f>Assumptions!F38</f>
        <v>0</v>
      </c>
      <c r="G23" s="125">
        <f>Assumptions!G38</f>
        <v>0</v>
      </c>
      <c r="H23" s="125">
        <f>Assumptions!H38</f>
        <v>0</v>
      </c>
      <c r="I23" s="125">
        <f>Assumptions!I38</f>
        <v>0</v>
      </c>
      <c r="J23" s="125">
        <f>Assumptions!J38</f>
        <v>20000000</v>
      </c>
      <c r="K23" s="125">
        <f>Assumptions!K38</f>
        <v>30000000</v>
      </c>
      <c r="L23" s="125">
        <f>Assumptions!L38</f>
        <v>30000000</v>
      </c>
      <c r="M23" s="125">
        <f>Assumptions!M38</f>
        <v>30000000</v>
      </c>
      <c r="N23" s="125">
        <f>Assumptions!N38</f>
        <v>30000000</v>
      </c>
      <c r="O23" s="125">
        <f>Assumptions!O38</f>
        <v>30000000</v>
      </c>
      <c r="P23" s="125">
        <f>Assumptions!P38</f>
        <v>30000000</v>
      </c>
      <c r="Q23" s="126">
        <f>Assumptions!Q38</f>
        <v>30000000</v>
      </c>
    </row>
    <row r="24" spans="2:17" hidden="1" outlineLevel="1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N24" s="7"/>
      <c r="O24" s="7"/>
      <c r="P24" s="7"/>
      <c r="Q24" s="7"/>
    </row>
    <row r="25" spans="2:17" x14ac:dyDescent="0.2">
      <c r="B25" s="78" t="s">
        <v>60</v>
      </c>
      <c r="C25" s="78"/>
      <c r="D25" s="78"/>
      <c r="E25" s="181">
        <f t="shared" ref="E25:Q28" si="1">SUM(E10,E15,E20)</f>
        <v>34546500</v>
      </c>
      <c r="F25" s="182">
        <f t="shared" si="1"/>
        <v>35737200</v>
      </c>
      <c r="G25" s="182">
        <f t="shared" si="1"/>
        <v>35737200</v>
      </c>
      <c r="H25" s="182">
        <f t="shared" si="1"/>
        <v>35737200</v>
      </c>
      <c r="I25" s="182">
        <f t="shared" si="1"/>
        <v>35737200</v>
      </c>
      <c r="J25" s="182">
        <f t="shared" si="1"/>
        <v>41137335</v>
      </c>
      <c r="K25" s="182">
        <f t="shared" si="1"/>
        <v>43838550</v>
      </c>
      <c r="L25" s="182">
        <f t="shared" si="1"/>
        <v>43838550</v>
      </c>
      <c r="M25" s="182">
        <f t="shared" si="1"/>
        <v>43838550</v>
      </c>
      <c r="N25" s="182">
        <f t="shared" si="1"/>
        <v>43838550</v>
      </c>
      <c r="O25" s="182">
        <f t="shared" si="1"/>
        <v>43838550</v>
      </c>
      <c r="P25" s="182">
        <f t="shared" si="1"/>
        <v>43838550</v>
      </c>
      <c r="Q25" s="183">
        <f t="shared" si="1"/>
        <v>43838550</v>
      </c>
    </row>
    <row r="26" spans="2:17" x14ac:dyDescent="0.2">
      <c r="B26" s="78" t="s">
        <v>61</v>
      </c>
      <c r="C26" s="78"/>
      <c r="D26" s="78"/>
      <c r="E26" s="184">
        <f t="shared" si="1"/>
        <v>20002</v>
      </c>
      <c r="F26" s="185">
        <f t="shared" si="1"/>
        <v>21178</v>
      </c>
      <c r="G26" s="185">
        <f t="shared" si="1"/>
        <v>21178</v>
      </c>
      <c r="H26" s="185">
        <f t="shared" si="1"/>
        <v>21178</v>
      </c>
      <c r="I26" s="185">
        <f t="shared" si="1"/>
        <v>21178</v>
      </c>
      <c r="J26" s="185">
        <f t="shared" si="1"/>
        <v>25884</v>
      </c>
      <c r="K26" s="185">
        <f t="shared" si="1"/>
        <v>28238</v>
      </c>
      <c r="L26" s="185">
        <f t="shared" si="1"/>
        <v>28238</v>
      </c>
      <c r="M26" s="185">
        <f t="shared" si="1"/>
        <v>28238</v>
      </c>
      <c r="N26" s="185">
        <f t="shared" si="1"/>
        <v>28238</v>
      </c>
      <c r="O26" s="185">
        <f t="shared" si="1"/>
        <v>28238</v>
      </c>
      <c r="P26" s="185">
        <f t="shared" si="1"/>
        <v>28238</v>
      </c>
      <c r="Q26" s="186">
        <f t="shared" si="1"/>
        <v>28238</v>
      </c>
    </row>
    <row r="27" spans="2:17" x14ac:dyDescent="0.2">
      <c r="B27" s="78" t="s">
        <v>62</v>
      </c>
      <c r="C27" s="78"/>
      <c r="D27" s="78"/>
      <c r="E27" s="184">
        <f t="shared" si="1"/>
        <v>21750000</v>
      </c>
      <c r="F27" s="185">
        <f t="shared" si="1"/>
        <v>22500000</v>
      </c>
      <c r="G27" s="185">
        <f t="shared" si="1"/>
        <v>22500000</v>
      </c>
      <c r="H27" s="185">
        <f t="shared" si="1"/>
        <v>22500000</v>
      </c>
      <c r="I27" s="185">
        <f t="shared" si="1"/>
        <v>22500000</v>
      </c>
      <c r="J27" s="185">
        <f t="shared" si="1"/>
        <v>25900000</v>
      </c>
      <c r="K27" s="185">
        <f t="shared" si="1"/>
        <v>27600000</v>
      </c>
      <c r="L27" s="185">
        <f t="shared" si="1"/>
        <v>27600000</v>
      </c>
      <c r="M27" s="185">
        <f t="shared" si="1"/>
        <v>27600000</v>
      </c>
      <c r="N27" s="185">
        <f t="shared" si="1"/>
        <v>27600000</v>
      </c>
      <c r="O27" s="185">
        <f t="shared" si="1"/>
        <v>27600000</v>
      </c>
      <c r="P27" s="185">
        <f t="shared" si="1"/>
        <v>27600000</v>
      </c>
      <c r="Q27" s="186">
        <f t="shared" si="1"/>
        <v>27600000</v>
      </c>
    </row>
    <row r="28" spans="2:17" x14ac:dyDescent="0.2">
      <c r="B28" s="78" t="s">
        <v>63</v>
      </c>
      <c r="C28" s="78"/>
      <c r="D28" s="78"/>
      <c r="E28" s="187">
        <f t="shared" si="1"/>
        <v>85000000</v>
      </c>
      <c r="F28" s="188">
        <f t="shared" si="1"/>
        <v>90000000</v>
      </c>
      <c r="G28" s="188">
        <f t="shared" si="1"/>
        <v>90000000</v>
      </c>
      <c r="H28" s="188">
        <f t="shared" si="1"/>
        <v>90000000</v>
      </c>
      <c r="I28" s="188">
        <f t="shared" si="1"/>
        <v>90000000</v>
      </c>
      <c r="J28" s="188">
        <f t="shared" si="1"/>
        <v>110000000</v>
      </c>
      <c r="K28" s="188">
        <f t="shared" si="1"/>
        <v>120000000</v>
      </c>
      <c r="L28" s="188">
        <f t="shared" si="1"/>
        <v>120000000</v>
      </c>
      <c r="M28" s="188">
        <f t="shared" si="1"/>
        <v>120000000</v>
      </c>
      <c r="N28" s="188">
        <f t="shared" si="1"/>
        <v>120000000</v>
      </c>
      <c r="O28" s="188">
        <f t="shared" si="1"/>
        <v>120000000</v>
      </c>
      <c r="P28" s="188">
        <f t="shared" si="1"/>
        <v>120000000</v>
      </c>
      <c r="Q28" s="189">
        <f t="shared" si="1"/>
        <v>120000000</v>
      </c>
    </row>
    <row r="29" spans="2:17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N29" s="7"/>
      <c r="O29" s="7"/>
      <c r="P29" s="7"/>
      <c r="Q29" s="7"/>
    </row>
    <row r="30" spans="2:17" x14ac:dyDescent="0.2">
      <c r="B30" s="11" t="s">
        <v>79</v>
      </c>
      <c r="C30" s="11"/>
      <c r="D30" s="11"/>
      <c r="E30" s="3" t="s">
        <v>12</v>
      </c>
      <c r="F30" s="3" t="s">
        <v>13</v>
      </c>
      <c r="G30" s="3" t="s">
        <v>14</v>
      </c>
      <c r="H30" s="3" t="s">
        <v>15</v>
      </c>
      <c r="I30" s="3" t="s">
        <v>16</v>
      </c>
      <c r="J30" s="3" t="s">
        <v>17</v>
      </c>
      <c r="K30" s="3" t="s">
        <v>18</v>
      </c>
      <c r="L30" s="3" t="s">
        <v>19</v>
      </c>
      <c r="M30" s="77" t="s">
        <v>20</v>
      </c>
      <c r="N30" s="3" t="s">
        <v>21</v>
      </c>
      <c r="O30" s="3" t="s">
        <v>22</v>
      </c>
      <c r="P30" s="3" t="s">
        <v>23</v>
      </c>
      <c r="Q30" s="3" t="s">
        <v>24</v>
      </c>
    </row>
    <row r="31" spans="2:17" x14ac:dyDescent="0.2">
      <c r="B31" s="18" t="s">
        <v>32</v>
      </c>
      <c r="C31" s="18"/>
      <c r="D31" s="18"/>
      <c r="E31" s="152">
        <f>Baseline!E39</f>
        <v>0.5</v>
      </c>
      <c r="F31" s="153">
        <f>Baseline!F39</f>
        <v>0.51749999999999996</v>
      </c>
      <c r="G31" s="153">
        <f>Baseline!G39</f>
        <v>0.53561249999999994</v>
      </c>
      <c r="H31" s="153">
        <f>Baseline!H39</f>
        <v>0.55435893749999987</v>
      </c>
      <c r="I31" s="153">
        <f>Baseline!I39</f>
        <v>0.57376150031249984</v>
      </c>
      <c r="J31" s="153">
        <f>Baseline!J39</f>
        <v>0.59384315282343725</v>
      </c>
      <c r="K31" s="153">
        <f>Baseline!K39</f>
        <v>0.61462766317225748</v>
      </c>
      <c r="L31" s="153">
        <f>Baseline!L39</f>
        <v>0.63613963138328644</v>
      </c>
      <c r="M31" s="153">
        <f>Baseline!M39</f>
        <v>0.65840451848170145</v>
      </c>
      <c r="N31" s="153">
        <f>Baseline!N39</f>
        <v>0.6814486766285609</v>
      </c>
      <c r="O31" s="153">
        <f>Baseline!O39</f>
        <v>0.7052993803105605</v>
      </c>
      <c r="P31" s="153">
        <f>Baseline!P39</f>
        <v>0.72998485862143003</v>
      </c>
      <c r="Q31" s="154">
        <f>Baseline!Q39</f>
        <v>0.75553432867318004</v>
      </c>
    </row>
    <row r="32" spans="2:17" x14ac:dyDescent="0.2">
      <c r="B32" s="18" t="s">
        <v>33</v>
      </c>
      <c r="C32" s="18"/>
      <c r="D32" s="18"/>
      <c r="E32" s="155">
        <f>Baseline!E40</f>
        <v>2500</v>
      </c>
      <c r="F32" s="156">
        <f>Baseline!F40</f>
        <v>2562.5</v>
      </c>
      <c r="G32" s="156">
        <f>Baseline!G40</f>
        <v>2626.5624999999995</v>
      </c>
      <c r="H32" s="156">
        <f>Baseline!H40</f>
        <v>2692.2265624999991</v>
      </c>
      <c r="I32" s="156">
        <f>Baseline!I40</f>
        <v>2759.5322265624986</v>
      </c>
      <c r="J32" s="156">
        <f>Baseline!J40</f>
        <v>2828.520532226561</v>
      </c>
      <c r="K32" s="156">
        <f>Baseline!K40</f>
        <v>2899.233545532225</v>
      </c>
      <c r="L32" s="156">
        <f>Baseline!L40</f>
        <v>2971.7143841705301</v>
      </c>
      <c r="M32" s="156">
        <f>Baseline!M40</f>
        <v>3046.0072437747931</v>
      </c>
      <c r="N32" s="156">
        <f>Baseline!N40</f>
        <v>3122.1574248691627</v>
      </c>
      <c r="O32" s="156">
        <f>Baseline!O40</f>
        <v>3200.2113604908914</v>
      </c>
      <c r="P32" s="156">
        <f>Baseline!P40</f>
        <v>3280.2166445031635</v>
      </c>
      <c r="Q32" s="157">
        <f>Baseline!Q40</f>
        <v>3362.2220606157421</v>
      </c>
    </row>
    <row r="33" spans="2:17" x14ac:dyDescent="0.2">
      <c r="B33" s="18" t="s">
        <v>34</v>
      </c>
      <c r="C33" s="18"/>
      <c r="D33" s="18"/>
      <c r="E33" s="194">
        <f>Baseline!E41</f>
        <v>2.6941551724137933</v>
      </c>
      <c r="F33" s="195">
        <f>Baseline!F41</f>
        <v>3.0207194222222222</v>
      </c>
      <c r="G33" s="195">
        <f>Baseline!G41</f>
        <v>3.0366526297777781</v>
      </c>
      <c r="H33" s="195">
        <f>Baseline!H41</f>
        <v>3.0524175475144451</v>
      </c>
      <c r="I33" s="195">
        <f>Baseline!I41</f>
        <v>2.9859999337087006</v>
      </c>
      <c r="J33" s="195">
        <f>Baseline!J41</f>
        <v>2.7604720044149373</v>
      </c>
      <c r="K33" s="195">
        <f>Baseline!K41</f>
        <v>2.7884249564837114</v>
      </c>
      <c r="L33" s="195">
        <f>Baseline!L41</f>
        <v>2.8088639525799781</v>
      </c>
      <c r="M33" s="195">
        <f>Baseline!M41</f>
        <v>2.704535290699301</v>
      </c>
      <c r="N33" s="195">
        <f>Baseline!N41</f>
        <v>2.7205760281472751</v>
      </c>
      <c r="O33" s="195">
        <f>Baseline!O41</f>
        <v>2.736216113292476</v>
      </c>
      <c r="P33" s="195">
        <f>Baseline!P41</f>
        <v>2.7741624034166876</v>
      </c>
      <c r="Q33" s="196">
        <f>Baseline!Q41</f>
        <v>2.6770116668129895</v>
      </c>
    </row>
    <row r="34" spans="2:17" x14ac:dyDescent="0.2">
      <c r="B34" s="18" t="s">
        <v>35</v>
      </c>
      <c r="C34" s="18"/>
      <c r="D34" s="18"/>
      <c r="E34" s="197">
        <f>Baseline!E42</f>
        <v>0.68938676470588234</v>
      </c>
      <c r="F34" s="198">
        <f>Baseline!F42</f>
        <v>0.75517985555555556</v>
      </c>
      <c r="G34" s="198">
        <f>Baseline!G42</f>
        <v>0.75916315744444451</v>
      </c>
      <c r="H34" s="198">
        <f>Baseline!H42</f>
        <v>0.76310438687861126</v>
      </c>
      <c r="I34" s="198">
        <f>Baseline!I42</f>
        <v>0.74649998342717516</v>
      </c>
      <c r="J34" s="198">
        <f>Baseline!J42</f>
        <v>0.64996568103951702</v>
      </c>
      <c r="K34" s="198">
        <f>Baseline!K42</f>
        <v>0.64133773999125365</v>
      </c>
      <c r="L34" s="198">
        <f>Baseline!L42</f>
        <v>0.646038709093395</v>
      </c>
      <c r="M34" s="198">
        <f>Baseline!M42</f>
        <v>0.62204311686083924</v>
      </c>
      <c r="N34" s="198">
        <f>Baseline!N42</f>
        <v>0.62573248647387325</v>
      </c>
      <c r="O34" s="198">
        <f>Baseline!O42</f>
        <v>0.62932970605726957</v>
      </c>
      <c r="P34" s="198">
        <f>Baseline!P42</f>
        <v>0.63805735278583819</v>
      </c>
      <c r="Q34" s="199">
        <f>Baseline!Q42</f>
        <v>0.61571268336698759</v>
      </c>
    </row>
    <row r="36" spans="2:17" x14ac:dyDescent="0.2">
      <c r="B36" s="204" t="s">
        <v>121</v>
      </c>
      <c r="C36" s="76"/>
      <c r="D36" s="76"/>
      <c r="E36" s="3" t="s">
        <v>12</v>
      </c>
      <c r="F36" s="3" t="s">
        <v>13</v>
      </c>
      <c r="G36" s="3" t="s">
        <v>14</v>
      </c>
      <c r="H36" s="3" t="s">
        <v>15</v>
      </c>
      <c r="I36" s="3" t="s">
        <v>16</v>
      </c>
      <c r="J36" s="3" t="s">
        <v>17</v>
      </c>
      <c r="K36" s="3" t="s">
        <v>18</v>
      </c>
      <c r="L36" s="3" t="s">
        <v>19</v>
      </c>
      <c r="M36" s="3" t="s">
        <v>20</v>
      </c>
      <c r="N36" s="3" t="s">
        <v>21</v>
      </c>
      <c r="O36" s="3" t="s">
        <v>22</v>
      </c>
      <c r="P36" s="3" t="s">
        <v>23</v>
      </c>
      <c r="Q36" s="3" t="s">
        <v>24</v>
      </c>
    </row>
    <row r="37" spans="2:17" x14ac:dyDescent="0.2">
      <c r="B37" s="10" t="s">
        <v>48</v>
      </c>
      <c r="C37" s="10"/>
      <c r="D37" s="10"/>
      <c r="E37" s="175">
        <f>(E38*AVERAGE(Assumptions!$D$17,Assumptions!$D$18)*Assumptions!$D$15)/1000</f>
        <v>28588950</v>
      </c>
      <c r="F37" s="175">
        <f>(F38*AVERAGE(Assumptions!$D$17,Assumptions!$D$18)*Assumptions!$D$15)/1000</f>
        <v>28588950</v>
      </c>
      <c r="G37" s="175">
        <f>(G38*AVERAGE(Assumptions!$D$17,Assumptions!$D$18)*Assumptions!$D$15)/1000</f>
        <v>28588950</v>
      </c>
      <c r="H37" s="175">
        <f>(H38*AVERAGE(Assumptions!$D$17,Assumptions!$D$18)*Assumptions!$D$15)/1000</f>
        <v>28588950</v>
      </c>
      <c r="I37" s="175">
        <f>(I38*AVERAGE(Assumptions!$D$17,Assumptions!$D$18)*Assumptions!$D$15)/1000</f>
        <v>28588950</v>
      </c>
      <c r="J37" s="175">
        <f>(J38*AVERAGE(Assumptions!$D$17,Assumptions!$D$18)*Assumptions!$D$15)/1000</f>
        <v>28588950</v>
      </c>
      <c r="K37" s="175">
        <f>(K38*AVERAGE(Assumptions!$D$17,Assumptions!$D$18)*Assumptions!$D$15)/1000</f>
        <v>28588950</v>
      </c>
      <c r="L37" s="175">
        <f>(L38*AVERAGE(Assumptions!$D$17,Assumptions!$D$18)*Assumptions!$D$15)/1000</f>
        <v>28588950</v>
      </c>
      <c r="M37" s="175">
        <f>(M38*AVERAGE(Assumptions!$D$17,Assumptions!$D$18)*Assumptions!$D$15)/1000</f>
        <v>28588950</v>
      </c>
      <c r="N37" s="175">
        <f>(N38*AVERAGE(Assumptions!$D$17,Assumptions!$D$18)*Assumptions!$D$15)/1000</f>
        <v>28588950</v>
      </c>
      <c r="O37" s="175">
        <f>(O38*AVERAGE(Assumptions!$D$17,Assumptions!$D$18)*Assumptions!$D$15)/1000</f>
        <v>28588950</v>
      </c>
      <c r="P37" s="175">
        <f>(P38*AVERAGE(Assumptions!$D$17,Assumptions!$D$18)*Assumptions!$D$15)/1000</f>
        <v>28588950</v>
      </c>
      <c r="Q37" s="205">
        <f>(Q38*AVERAGE(Assumptions!$D$17,Assumptions!$D$18)*Assumptions!$D$15)/1000</f>
        <v>28588950</v>
      </c>
    </row>
    <row r="38" spans="2:17" x14ac:dyDescent="0.2">
      <c r="B38" s="10" t="s">
        <v>49</v>
      </c>
      <c r="C38" s="10"/>
      <c r="D38" s="10"/>
      <c r="E38" s="178">
        <f>ROUNDUP(E40/Assumptions!$D$16,0)*2</f>
        <v>14118</v>
      </c>
      <c r="F38" s="178">
        <f>ROUNDUP(F40/Assumptions!$D$16,0)*2</f>
        <v>14118</v>
      </c>
      <c r="G38" s="178">
        <f>ROUNDUP(G40/Assumptions!$D$16,0)*2</f>
        <v>14118</v>
      </c>
      <c r="H38" s="178">
        <f>ROUNDUP(H40/Assumptions!$D$16,0)*2</f>
        <v>14118</v>
      </c>
      <c r="I38" s="178">
        <f>ROUNDUP(I40/Assumptions!$D$16,0)*2</f>
        <v>14118</v>
      </c>
      <c r="J38" s="178">
        <f>ROUNDUP(J40/Assumptions!$D$16,0)*2</f>
        <v>14118</v>
      </c>
      <c r="K38" s="178">
        <f>ROUNDUP(K40/Assumptions!$D$16,0)*2</f>
        <v>14118</v>
      </c>
      <c r="L38" s="178">
        <f>ROUNDUP(L40/Assumptions!$D$16,0)*2</f>
        <v>14118</v>
      </c>
      <c r="M38" s="178">
        <f>ROUNDUP(M40/Assumptions!$D$16,0)*2</f>
        <v>14118</v>
      </c>
      <c r="N38" s="178">
        <f>ROUNDUP(N40/Assumptions!$D$16,0)*2</f>
        <v>14118</v>
      </c>
      <c r="O38" s="178">
        <f>ROUNDUP(O40/Assumptions!$D$16,0)*2</f>
        <v>14118</v>
      </c>
      <c r="P38" s="178">
        <f>ROUNDUP(P40/Assumptions!$D$16,0)*2</f>
        <v>14118</v>
      </c>
      <c r="Q38" s="206">
        <f>ROUNDUP(Q40/Assumptions!$D$16,0)*2</f>
        <v>14118</v>
      </c>
    </row>
    <row r="39" spans="2:17" x14ac:dyDescent="0.2">
      <c r="B39" s="10" t="s">
        <v>50</v>
      </c>
      <c r="C39" s="10"/>
      <c r="D39" s="10"/>
      <c r="E39" s="178">
        <f>(E40*Assumptions!$D$15)/1000</f>
        <v>18000000</v>
      </c>
      <c r="F39" s="178">
        <f>(F40*Assumptions!$D$15)/1000</f>
        <v>18000000</v>
      </c>
      <c r="G39" s="178">
        <f>(G40*Assumptions!$D$15)/1000</f>
        <v>18000000</v>
      </c>
      <c r="H39" s="178">
        <f>(H40*Assumptions!$D$15)/1000</f>
        <v>18000000</v>
      </c>
      <c r="I39" s="178">
        <f>(I40*Assumptions!$D$15)/1000</f>
        <v>18000000</v>
      </c>
      <c r="J39" s="178">
        <f>(J40*Assumptions!$D$15)/1000</f>
        <v>18000000</v>
      </c>
      <c r="K39" s="178">
        <f>(K40*Assumptions!$D$15)/1000</f>
        <v>18000000</v>
      </c>
      <c r="L39" s="178">
        <f>(L40*Assumptions!$D$15)/1000</f>
        <v>18000000</v>
      </c>
      <c r="M39" s="178">
        <f>(M40*Assumptions!$D$15)/1000</f>
        <v>18000000</v>
      </c>
      <c r="N39" s="178">
        <f>(N40*Assumptions!$D$15)/1000</f>
        <v>18000000</v>
      </c>
      <c r="O39" s="178">
        <f>(O40*Assumptions!$D$15)/1000</f>
        <v>18000000</v>
      </c>
      <c r="P39" s="178">
        <f>(P40*Assumptions!$D$15)/1000</f>
        <v>18000000</v>
      </c>
      <c r="Q39" s="206">
        <f>(Q40*Assumptions!$D$15)/1000</f>
        <v>18000000</v>
      </c>
    </row>
    <row r="40" spans="2:17" x14ac:dyDescent="0.2">
      <c r="B40" s="10" t="s">
        <v>51</v>
      </c>
      <c r="C40" s="10"/>
      <c r="D40" s="10"/>
      <c r="E40" s="124">
        <f>Assumptions!E26</f>
        <v>60000000</v>
      </c>
      <c r="F40" s="124">
        <f>Assumptions!F26</f>
        <v>60000000</v>
      </c>
      <c r="G40" s="124">
        <f>Assumptions!G26</f>
        <v>60000000</v>
      </c>
      <c r="H40" s="124">
        <f>Assumptions!H26</f>
        <v>60000000</v>
      </c>
      <c r="I40" s="124">
        <f>Assumptions!I26</f>
        <v>60000000</v>
      </c>
      <c r="J40" s="124">
        <f>Assumptions!J26</f>
        <v>60000000</v>
      </c>
      <c r="K40" s="124">
        <f>Assumptions!K26</f>
        <v>60000000</v>
      </c>
      <c r="L40" s="124">
        <f>Assumptions!L26</f>
        <v>60000000</v>
      </c>
      <c r="M40" s="124">
        <f>Assumptions!M26</f>
        <v>60000000</v>
      </c>
      <c r="N40" s="124">
        <f>Assumptions!N26</f>
        <v>60000000</v>
      </c>
      <c r="O40" s="124">
        <f>Assumptions!O26</f>
        <v>60000000</v>
      </c>
      <c r="P40" s="124">
        <f>Assumptions!P26</f>
        <v>60000000</v>
      </c>
      <c r="Q40" s="193">
        <f>Assumptions!Q26</f>
        <v>60000000</v>
      </c>
    </row>
    <row r="41" spans="2:17" x14ac:dyDescent="0.2">
      <c r="M41" s="1"/>
    </row>
    <row r="42" spans="2:17" x14ac:dyDescent="0.2">
      <c r="B42" s="10" t="s">
        <v>52</v>
      </c>
      <c r="C42" s="10"/>
      <c r="D42" s="10"/>
      <c r="E42" s="175">
        <f>(E43*AVERAGE(Assumptions!$E$17,Assumptions!$E$18)*Assumptions!$E$15)/1000</f>
        <v>5957550</v>
      </c>
      <c r="F42" s="175">
        <f>(F43*AVERAGE(Assumptions!$E$17,Assumptions!$E$18)*Assumptions!$E$15)/1000</f>
        <v>5957550</v>
      </c>
      <c r="G42" s="175">
        <f>(G43*AVERAGE(Assumptions!$E$17,Assumptions!$E$18)*Assumptions!$E$15)/1000</f>
        <v>7148250</v>
      </c>
      <c r="H42" s="175">
        <f>(H43*AVERAGE(Assumptions!$E$17,Assumptions!$E$18)*Assumptions!$E$15)/1000</f>
        <v>7148250</v>
      </c>
      <c r="I42" s="175">
        <f>(I43*AVERAGE(Assumptions!$E$17,Assumptions!$E$18)*Assumptions!$E$15)/1000</f>
        <v>7148250</v>
      </c>
      <c r="J42" s="175">
        <f>(J43*AVERAGE(Assumptions!$E$17,Assumptions!$E$18)*Assumptions!$E$15)/1000</f>
        <v>7148250</v>
      </c>
      <c r="K42" s="175">
        <f>(K43*AVERAGE(Assumptions!$E$17,Assumptions!$E$18)*Assumptions!$E$15)/1000</f>
        <v>7148250</v>
      </c>
      <c r="L42" s="175">
        <f>(L43*AVERAGE(Assumptions!$E$17,Assumptions!$E$18)*Assumptions!$E$15)/1000</f>
        <v>7148250</v>
      </c>
      <c r="M42" s="175">
        <f>(M43*AVERAGE(Assumptions!$E$17,Assumptions!$E$18)*Assumptions!$E$15)/1000</f>
        <v>7148250</v>
      </c>
      <c r="N42" s="175">
        <f>(N43*AVERAGE(Assumptions!$E$17,Assumptions!$E$18)*Assumptions!$E$15)/1000</f>
        <v>7148250</v>
      </c>
      <c r="O42" s="175">
        <f>(O43*AVERAGE(Assumptions!$E$17,Assumptions!$E$18)*Assumptions!$E$15)/1000</f>
        <v>7148250</v>
      </c>
      <c r="P42" s="175">
        <f>(P43*AVERAGE(Assumptions!$E$17,Assumptions!$E$18)*Assumptions!$E$15)/1000</f>
        <v>7148250</v>
      </c>
      <c r="Q42" s="205">
        <f>(Q43*AVERAGE(Assumptions!$E$17,Assumptions!$E$18)*Assumptions!$E$15)/1000</f>
        <v>7148250</v>
      </c>
    </row>
    <row r="43" spans="2:17" x14ac:dyDescent="0.2">
      <c r="B43" s="10" t="s">
        <v>53</v>
      </c>
      <c r="C43" s="10"/>
      <c r="D43" s="10"/>
      <c r="E43" s="178">
        <f>ROUNDUP(E45/Assumptions!$E$16,0)*2</f>
        <v>5884</v>
      </c>
      <c r="F43" s="178">
        <f>ROUNDUP(F45/Assumptions!$E$16,0)*2</f>
        <v>5884</v>
      </c>
      <c r="G43" s="178">
        <f>ROUNDUP(G45/Assumptions!$E$16,0)*2</f>
        <v>7060</v>
      </c>
      <c r="H43" s="178">
        <f>ROUNDUP(H45/Assumptions!$E$16,0)*2</f>
        <v>7060</v>
      </c>
      <c r="I43" s="178">
        <f>ROUNDUP(I45/Assumptions!$E$16,0)*2</f>
        <v>7060</v>
      </c>
      <c r="J43" s="178">
        <f>ROUNDUP(J45/Assumptions!$E$16,0)*2</f>
        <v>7060</v>
      </c>
      <c r="K43" s="178">
        <f>ROUNDUP(K45/Assumptions!$E$16,0)*2</f>
        <v>7060</v>
      </c>
      <c r="L43" s="178">
        <f>ROUNDUP(L45/Assumptions!$E$16,0)*2</f>
        <v>7060</v>
      </c>
      <c r="M43" s="178">
        <f>ROUNDUP(M45/Assumptions!$E$16,0)*2</f>
        <v>7060</v>
      </c>
      <c r="N43" s="178">
        <f>ROUNDUP(N45/Assumptions!$E$16,0)*2</f>
        <v>7060</v>
      </c>
      <c r="O43" s="178">
        <f>ROUNDUP(O45/Assumptions!$E$16,0)*2</f>
        <v>7060</v>
      </c>
      <c r="P43" s="178">
        <f>ROUNDUP(P45/Assumptions!$E$16,0)*2</f>
        <v>7060</v>
      </c>
      <c r="Q43" s="206">
        <f>ROUNDUP(Q45/Assumptions!$E$16,0)*2</f>
        <v>7060</v>
      </c>
    </row>
    <row r="44" spans="2:17" x14ac:dyDescent="0.2">
      <c r="B44" s="10" t="s">
        <v>54</v>
      </c>
      <c r="C44" s="10"/>
      <c r="D44" s="10"/>
      <c r="E44" s="178">
        <f>(E45*Assumptions!$E$15)/1000</f>
        <v>3750000</v>
      </c>
      <c r="F44" s="178">
        <f>(F45*Assumptions!$E$15)/1000</f>
        <v>3750000</v>
      </c>
      <c r="G44" s="178">
        <f>(G45*Assumptions!$E$15)/1000</f>
        <v>4500000</v>
      </c>
      <c r="H44" s="178">
        <f>(H45*Assumptions!$E$15)/1000</f>
        <v>4500000</v>
      </c>
      <c r="I44" s="178">
        <f>(I45*Assumptions!$E$15)/1000</f>
        <v>4500000</v>
      </c>
      <c r="J44" s="178">
        <f>(J45*Assumptions!$E$15)/1000</f>
        <v>4500000</v>
      </c>
      <c r="K44" s="178">
        <f>(K45*Assumptions!$E$15)/1000</f>
        <v>4500000</v>
      </c>
      <c r="L44" s="178">
        <f>(L45*Assumptions!$E$15)/1000</f>
        <v>4500000</v>
      </c>
      <c r="M44" s="178">
        <f>(M45*Assumptions!$E$15)/1000</f>
        <v>4500000</v>
      </c>
      <c r="N44" s="178">
        <f>(N45*Assumptions!$E$15)/1000</f>
        <v>4500000</v>
      </c>
      <c r="O44" s="178">
        <f>(O45*Assumptions!$E$15)/1000</f>
        <v>4500000</v>
      </c>
      <c r="P44" s="178">
        <f>(P45*Assumptions!$E$15)/1000</f>
        <v>4500000</v>
      </c>
      <c r="Q44" s="206">
        <f>(Q45*Assumptions!$E$15)/1000</f>
        <v>4500000</v>
      </c>
    </row>
    <row r="45" spans="2:17" x14ac:dyDescent="0.2">
      <c r="B45" s="10" t="s">
        <v>55</v>
      </c>
      <c r="C45" s="10"/>
      <c r="D45" s="10"/>
      <c r="E45" s="124">
        <f>Assumptions!E32</f>
        <v>25000000</v>
      </c>
      <c r="F45" s="200">
        <f t="shared" ref="F45" si="2">E45</f>
        <v>25000000</v>
      </c>
      <c r="G45" s="124">
        <f>Assumptions!G32</f>
        <v>30000000</v>
      </c>
      <c r="H45" s="124">
        <f>Assumptions!H32</f>
        <v>30000000</v>
      </c>
      <c r="I45" s="124">
        <f>Assumptions!I32</f>
        <v>30000000</v>
      </c>
      <c r="J45" s="124">
        <f>Assumptions!J32</f>
        <v>30000000</v>
      </c>
      <c r="K45" s="124">
        <f>Assumptions!K32</f>
        <v>30000000</v>
      </c>
      <c r="L45" s="124">
        <f>Assumptions!L32</f>
        <v>30000000</v>
      </c>
      <c r="M45" s="124">
        <f>Assumptions!M32</f>
        <v>30000000</v>
      </c>
      <c r="N45" s="124">
        <f>Assumptions!N32</f>
        <v>30000000</v>
      </c>
      <c r="O45" s="124">
        <f>Assumptions!O32</f>
        <v>30000000</v>
      </c>
      <c r="P45" s="124">
        <f>Assumptions!P32</f>
        <v>30000000</v>
      </c>
      <c r="Q45" s="193">
        <f>Assumptions!Q32</f>
        <v>30000000</v>
      </c>
    </row>
    <row r="46" spans="2:17" x14ac:dyDescent="0.2">
      <c r="M46" s="1"/>
    </row>
    <row r="47" spans="2:17" x14ac:dyDescent="0.2">
      <c r="B47" s="10" t="s">
        <v>56</v>
      </c>
      <c r="C47" s="10"/>
      <c r="D47" s="10"/>
      <c r="E47" s="175">
        <f>(E48*AVERAGE(Assumptions!$F$17,Assumptions!$F$18)*Assumptions!$F$15)/1000</f>
        <v>0</v>
      </c>
      <c r="F47" s="176">
        <f>(F48*AVERAGE(Assumptions!$F$17,Assumptions!$F$18)*Assumptions!$F$15)/1000</f>
        <v>0</v>
      </c>
      <c r="G47" s="176">
        <f>(G48*AVERAGE(Assumptions!$F$17,Assumptions!$F$18)*Assumptions!$F$15)/1000</f>
        <v>0</v>
      </c>
      <c r="H47" s="176">
        <f>(H48*AVERAGE(Assumptions!$F$17,Assumptions!$F$18)*Assumptions!$F$15)/1000</f>
        <v>0</v>
      </c>
      <c r="I47" s="176">
        <f>(I48*AVERAGE(Assumptions!$F$17,Assumptions!$F$18)*Assumptions!$F$15)/1000</f>
        <v>0</v>
      </c>
      <c r="J47" s="176">
        <f>(J48*AVERAGE(Assumptions!$F$17,Assumptions!$F$18)*Assumptions!$F$15)/1000</f>
        <v>5400135</v>
      </c>
      <c r="K47" s="176">
        <f>(K48*AVERAGE(Assumptions!$F$17,Assumptions!$F$18)*Assumptions!$F$15)/1000</f>
        <v>8101350</v>
      </c>
      <c r="L47" s="176">
        <f>(L48*AVERAGE(Assumptions!$F$17,Assumptions!$F$18)*Assumptions!$F$15)/1000</f>
        <v>8101350</v>
      </c>
      <c r="M47" s="176">
        <f>(M48*AVERAGE(Assumptions!$F$17,Assumptions!$F$18)*Assumptions!$F$15)/1000</f>
        <v>8101350</v>
      </c>
      <c r="N47" s="176">
        <f>(N48*AVERAGE(Assumptions!$F$17,Assumptions!$F$18)*Assumptions!$F$15)/1000</f>
        <v>8101350</v>
      </c>
      <c r="O47" s="176">
        <f>(O48*AVERAGE(Assumptions!$F$17,Assumptions!$F$18)*Assumptions!$F$15)/1000</f>
        <v>8101350</v>
      </c>
      <c r="P47" s="176">
        <f>(P48*AVERAGE(Assumptions!$F$17,Assumptions!$F$18)*Assumptions!$F$15)/1000</f>
        <v>8101350</v>
      </c>
      <c r="Q47" s="177">
        <f>(Q48*AVERAGE(Assumptions!$F$17,Assumptions!$F$18)*Assumptions!$F$15)/1000</f>
        <v>8101350</v>
      </c>
    </row>
    <row r="48" spans="2:17" x14ac:dyDescent="0.2">
      <c r="B48" s="10" t="s">
        <v>57</v>
      </c>
      <c r="C48" s="10"/>
      <c r="D48" s="10"/>
      <c r="E48" s="178">
        <f>ROUNDUP(E50/Assumptions!$F$16,0)*2</f>
        <v>0</v>
      </c>
      <c r="F48" s="179">
        <f>ROUNDUP(F50/Assumptions!$F$16,0)*2</f>
        <v>0</v>
      </c>
      <c r="G48" s="179">
        <f>ROUNDUP(G50/Assumptions!$F$16,0)*2</f>
        <v>0</v>
      </c>
      <c r="H48" s="179">
        <f>ROUNDUP(H50/Assumptions!$F$16,0)*2</f>
        <v>0</v>
      </c>
      <c r="I48" s="179">
        <f>ROUNDUP(I50/Assumptions!$F$16,0)*2</f>
        <v>0</v>
      </c>
      <c r="J48" s="179">
        <f>ROUNDUP(J50/Assumptions!$F$16,0)*2</f>
        <v>4706</v>
      </c>
      <c r="K48" s="179">
        <f>ROUNDUP(K50/Assumptions!$F$16,0)*2</f>
        <v>7060</v>
      </c>
      <c r="L48" s="179">
        <f>ROUNDUP(L50/Assumptions!$F$16,0)*2</f>
        <v>7060</v>
      </c>
      <c r="M48" s="179">
        <f>ROUNDUP(M50/Assumptions!$F$16,0)*2</f>
        <v>7060</v>
      </c>
      <c r="N48" s="179">
        <f>ROUNDUP(N50/Assumptions!$F$16,0)*2</f>
        <v>7060</v>
      </c>
      <c r="O48" s="179">
        <f>ROUNDUP(O50/Assumptions!$F$16,0)*2</f>
        <v>7060</v>
      </c>
      <c r="P48" s="179">
        <f>ROUNDUP(P50/Assumptions!$F$16,0)*2</f>
        <v>7060</v>
      </c>
      <c r="Q48" s="180">
        <f>ROUNDUP(Q50/Assumptions!$F$16,0)*2</f>
        <v>7060</v>
      </c>
    </row>
    <row r="49" spans="2:19" x14ac:dyDescent="0.2">
      <c r="B49" s="10" t="s">
        <v>58</v>
      </c>
      <c r="C49" s="10"/>
      <c r="D49" s="10"/>
      <c r="E49" s="178">
        <f>(E50*Assumptions!$F$15)/1000</f>
        <v>0</v>
      </c>
      <c r="F49" s="179">
        <f>(F50*Assumptions!$F$15)/1000</f>
        <v>0</v>
      </c>
      <c r="G49" s="179">
        <f>(G50*Assumptions!$F$15)/1000</f>
        <v>0</v>
      </c>
      <c r="H49" s="179">
        <f>(H50*Assumptions!$F$15)/1000</f>
        <v>0</v>
      </c>
      <c r="I49" s="179">
        <f>(I50*Assumptions!$F$15)/1000</f>
        <v>0</v>
      </c>
      <c r="J49" s="179">
        <f>(J50*Assumptions!$F$15)/1000</f>
        <v>3400000</v>
      </c>
      <c r="K49" s="179">
        <f>(K50*Assumptions!$F$15)/1000</f>
        <v>5100000</v>
      </c>
      <c r="L49" s="179">
        <f>(L50*Assumptions!$F$15)/1000</f>
        <v>5100000</v>
      </c>
      <c r="M49" s="179">
        <f>(M50*Assumptions!$F$15)/1000</f>
        <v>5100000</v>
      </c>
      <c r="N49" s="179">
        <f>(N50*Assumptions!$F$15)/1000</f>
        <v>5100000</v>
      </c>
      <c r="O49" s="179">
        <f>(O50*Assumptions!$F$15)/1000</f>
        <v>5100000</v>
      </c>
      <c r="P49" s="179">
        <f>(P50*Assumptions!$F$15)/1000</f>
        <v>5100000</v>
      </c>
      <c r="Q49" s="180">
        <f>(Q50*Assumptions!$F$15)/1000</f>
        <v>5100000</v>
      </c>
    </row>
    <row r="50" spans="2:19" x14ac:dyDescent="0.2">
      <c r="B50" s="10" t="s">
        <v>59</v>
      </c>
      <c r="C50" s="10"/>
      <c r="D50" s="10"/>
      <c r="E50" s="124">
        <f>Assumptions!E38</f>
        <v>0</v>
      </c>
      <c r="F50" s="125">
        <f>Assumptions!F38</f>
        <v>0</v>
      </c>
      <c r="G50" s="125">
        <f>Assumptions!G38</f>
        <v>0</v>
      </c>
      <c r="H50" s="125">
        <f>Assumptions!H38</f>
        <v>0</v>
      </c>
      <c r="I50" s="125">
        <f>Assumptions!I38</f>
        <v>0</v>
      </c>
      <c r="J50" s="125">
        <f>Assumptions!J38</f>
        <v>20000000</v>
      </c>
      <c r="K50" s="125">
        <f>Assumptions!K38</f>
        <v>30000000</v>
      </c>
      <c r="L50" s="125">
        <f>Assumptions!L38</f>
        <v>30000000</v>
      </c>
      <c r="M50" s="125">
        <f>Assumptions!M38</f>
        <v>30000000</v>
      </c>
      <c r="N50" s="125">
        <f>Assumptions!N38</f>
        <v>30000000</v>
      </c>
      <c r="O50" s="125">
        <f>Assumptions!O38</f>
        <v>30000000</v>
      </c>
      <c r="P50" s="125">
        <f>Assumptions!P38</f>
        <v>30000000</v>
      </c>
      <c r="Q50" s="126">
        <f>Assumptions!Q38</f>
        <v>30000000</v>
      </c>
    </row>
    <row r="51" spans="2:19" x14ac:dyDescent="0.2">
      <c r="M51" s="1"/>
    </row>
    <row r="52" spans="2:19" x14ac:dyDescent="0.2">
      <c r="B52" s="10" t="s">
        <v>60</v>
      </c>
      <c r="C52" s="10"/>
      <c r="D52" s="10"/>
      <c r="E52" s="181">
        <f>SUM(E37,E42,E47)</f>
        <v>34546500</v>
      </c>
      <c r="F52" s="201">
        <f t="shared" ref="F52:Q52" si="3">SUM(F37,F42,F47)</f>
        <v>34546500</v>
      </c>
      <c r="G52" s="182">
        <f t="shared" si="3"/>
        <v>35737200</v>
      </c>
      <c r="H52" s="182">
        <f t="shared" si="3"/>
        <v>35737200</v>
      </c>
      <c r="I52" s="182">
        <f t="shared" si="3"/>
        <v>35737200</v>
      </c>
      <c r="J52" s="182">
        <f t="shared" si="3"/>
        <v>41137335</v>
      </c>
      <c r="K52" s="182">
        <f t="shared" si="3"/>
        <v>43838550</v>
      </c>
      <c r="L52" s="182">
        <f t="shared" si="3"/>
        <v>43838550</v>
      </c>
      <c r="M52" s="182">
        <f t="shared" si="3"/>
        <v>43838550</v>
      </c>
      <c r="N52" s="182">
        <f t="shared" si="3"/>
        <v>43838550</v>
      </c>
      <c r="O52" s="182">
        <f t="shared" si="3"/>
        <v>43838550</v>
      </c>
      <c r="P52" s="182">
        <f t="shared" si="3"/>
        <v>43838550</v>
      </c>
      <c r="Q52" s="183">
        <f t="shared" si="3"/>
        <v>43838550</v>
      </c>
    </row>
    <row r="53" spans="2:19" x14ac:dyDescent="0.2">
      <c r="B53" s="10" t="s">
        <v>61</v>
      </c>
      <c r="C53" s="10"/>
      <c r="D53" s="10"/>
      <c r="E53" s="184">
        <f t="shared" ref="E53:Q55" si="4">SUM(E38,E43,E48)</f>
        <v>20002</v>
      </c>
      <c r="F53" s="202">
        <f t="shared" si="4"/>
        <v>20002</v>
      </c>
      <c r="G53" s="185">
        <f t="shared" si="4"/>
        <v>21178</v>
      </c>
      <c r="H53" s="185">
        <f t="shared" si="4"/>
        <v>21178</v>
      </c>
      <c r="I53" s="185">
        <f t="shared" si="4"/>
        <v>21178</v>
      </c>
      <c r="J53" s="185">
        <f t="shared" si="4"/>
        <v>25884</v>
      </c>
      <c r="K53" s="185">
        <f t="shared" si="4"/>
        <v>28238</v>
      </c>
      <c r="L53" s="185">
        <f t="shared" si="4"/>
        <v>28238</v>
      </c>
      <c r="M53" s="185">
        <f t="shared" si="4"/>
        <v>28238</v>
      </c>
      <c r="N53" s="185">
        <f t="shared" si="4"/>
        <v>28238</v>
      </c>
      <c r="O53" s="185">
        <f t="shared" si="4"/>
        <v>28238</v>
      </c>
      <c r="P53" s="185">
        <f t="shared" si="4"/>
        <v>28238</v>
      </c>
      <c r="Q53" s="186">
        <f t="shared" si="4"/>
        <v>28238</v>
      </c>
    </row>
    <row r="54" spans="2:19" x14ac:dyDescent="0.2">
      <c r="B54" s="10" t="s">
        <v>62</v>
      </c>
      <c r="C54" s="10"/>
      <c r="D54" s="10"/>
      <c r="E54" s="184">
        <f t="shared" si="4"/>
        <v>21750000</v>
      </c>
      <c r="F54" s="202">
        <f t="shared" si="4"/>
        <v>21750000</v>
      </c>
      <c r="G54" s="185">
        <f t="shared" si="4"/>
        <v>22500000</v>
      </c>
      <c r="H54" s="185">
        <f t="shared" si="4"/>
        <v>22500000</v>
      </c>
      <c r="I54" s="185">
        <f t="shared" si="4"/>
        <v>22500000</v>
      </c>
      <c r="J54" s="185">
        <f t="shared" si="4"/>
        <v>25900000</v>
      </c>
      <c r="K54" s="185">
        <f t="shared" si="4"/>
        <v>27600000</v>
      </c>
      <c r="L54" s="185">
        <f t="shared" si="4"/>
        <v>27600000</v>
      </c>
      <c r="M54" s="185">
        <f t="shared" si="4"/>
        <v>27600000</v>
      </c>
      <c r="N54" s="185">
        <f t="shared" si="4"/>
        <v>27600000</v>
      </c>
      <c r="O54" s="185">
        <f t="shared" si="4"/>
        <v>27600000</v>
      </c>
      <c r="P54" s="185">
        <f t="shared" si="4"/>
        <v>27600000</v>
      </c>
      <c r="Q54" s="186">
        <f t="shared" si="4"/>
        <v>27600000</v>
      </c>
    </row>
    <row r="55" spans="2:19" x14ac:dyDescent="0.2">
      <c r="B55" s="10" t="s">
        <v>63</v>
      </c>
      <c r="C55" s="10"/>
      <c r="D55" s="10"/>
      <c r="E55" s="187">
        <f t="shared" si="4"/>
        <v>85000000</v>
      </c>
      <c r="F55" s="203">
        <f t="shared" si="4"/>
        <v>85000000</v>
      </c>
      <c r="G55" s="188">
        <f t="shared" si="4"/>
        <v>90000000</v>
      </c>
      <c r="H55" s="188">
        <f t="shared" si="4"/>
        <v>90000000</v>
      </c>
      <c r="I55" s="188">
        <f t="shared" si="4"/>
        <v>90000000</v>
      </c>
      <c r="J55" s="188">
        <f t="shared" si="4"/>
        <v>110000000</v>
      </c>
      <c r="K55" s="188">
        <f t="shared" si="4"/>
        <v>120000000</v>
      </c>
      <c r="L55" s="188">
        <f t="shared" si="4"/>
        <v>120000000</v>
      </c>
      <c r="M55" s="188">
        <f t="shared" si="4"/>
        <v>120000000</v>
      </c>
      <c r="N55" s="188">
        <f t="shared" si="4"/>
        <v>120000000</v>
      </c>
      <c r="O55" s="188">
        <f t="shared" si="4"/>
        <v>120000000</v>
      </c>
      <c r="P55" s="188">
        <f t="shared" si="4"/>
        <v>120000000</v>
      </c>
      <c r="Q55" s="189">
        <f t="shared" si="4"/>
        <v>120000000</v>
      </c>
    </row>
    <row r="56" spans="2:19" x14ac:dyDescent="0.2">
      <c r="M56" s="1"/>
    </row>
    <row r="57" spans="2:19" x14ac:dyDescent="0.2">
      <c r="B57" s="11" t="s">
        <v>93</v>
      </c>
      <c r="C57" s="11"/>
      <c r="D57" s="11"/>
      <c r="E57" s="3" t="s">
        <v>12</v>
      </c>
      <c r="F57" s="3" t="s">
        <v>13</v>
      </c>
      <c r="G57" s="3" t="s">
        <v>14</v>
      </c>
      <c r="H57" s="3" t="s">
        <v>15</v>
      </c>
      <c r="I57" s="3" t="s">
        <v>16</v>
      </c>
      <c r="J57" s="3" t="s">
        <v>17</v>
      </c>
      <c r="K57" s="3" t="s">
        <v>18</v>
      </c>
      <c r="L57" s="3" t="s">
        <v>19</v>
      </c>
      <c r="M57" s="3" t="s">
        <v>20</v>
      </c>
      <c r="N57" s="3" t="s">
        <v>21</v>
      </c>
      <c r="O57" s="3" t="s">
        <v>22</v>
      </c>
      <c r="P57" s="3" t="s">
        <v>23</v>
      </c>
      <c r="Q57" s="3" t="s">
        <v>24</v>
      </c>
    </row>
    <row r="58" spans="2:19" x14ac:dyDescent="0.2">
      <c r="B58" s="18" t="s">
        <v>32</v>
      </c>
      <c r="C58" s="18"/>
      <c r="D58" s="18"/>
      <c r="E58" s="152">
        <f>E31</f>
        <v>0.5</v>
      </c>
      <c r="F58" s="153">
        <f t="shared" ref="F58:Q58" si="5">F31</f>
        <v>0.51749999999999996</v>
      </c>
      <c r="G58" s="153">
        <f t="shared" si="5"/>
        <v>0.53561249999999994</v>
      </c>
      <c r="H58" s="153">
        <f t="shared" si="5"/>
        <v>0.55435893749999987</v>
      </c>
      <c r="I58" s="153">
        <f t="shared" si="5"/>
        <v>0.57376150031249984</v>
      </c>
      <c r="J58" s="153">
        <f t="shared" si="5"/>
        <v>0.59384315282343725</v>
      </c>
      <c r="K58" s="153">
        <f t="shared" si="5"/>
        <v>0.61462766317225748</v>
      </c>
      <c r="L58" s="153">
        <f t="shared" si="5"/>
        <v>0.63613963138328644</v>
      </c>
      <c r="M58" s="153">
        <f t="shared" si="5"/>
        <v>0.65840451848170145</v>
      </c>
      <c r="N58" s="153">
        <f t="shared" si="5"/>
        <v>0.6814486766285609</v>
      </c>
      <c r="O58" s="153">
        <f t="shared" si="5"/>
        <v>0.7052993803105605</v>
      </c>
      <c r="P58" s="153">
        <f t="shared" si="5"/>
        <v>0.72998485862143003</v>
      </c>
      <c r="Q58" s="154">
        <f t="shared" si="5"/>
        <v>0.75553432867318004</v>
      </c>
      <c r="S58" s="167"/>
    </row>
    <row r="59" spans="2:19" x14ac:dyDescent="0.2">
      <c r="B59" s="18" t="s">
        <v>33</v>
      </c>
      <c r="C59" s="18"/>
      <c r="D59" s="18"/>
      <c r="E59" s="155">
        <f>E32</f>
        <v>2500</v>
      </c>
      <c r="F59" s="156">
        <f t="shared" ref="F59:Q59" si="6">F32</f>
        <v>2562.5</v>
      </c>
      <c r="G59" s="156">
        <f t="shared" si="6"/>
        <v>2626.5624999999995</v>
      </c>
      <c r="H59" s="156">
        <f t="shared" si="6"/>
        <v>2692.2265624999991</v>
      </c>
      <c r="I59" s="156">
        <f t="shared" si="6"/>
        <v>2759.5322265624986</v>
      </c>
      <c r="J59" s="156">
        <f t="shared" si="6"/>
        <v>2828.520532226561</v>
      </c>
      <c r="K59" s="156">
        <f t="shared" si="6"/>
        <v>2899.233545532225</v>
      </c>
      <c r="L59" s="156">
        <f t="shared" si="6"/>
        <v>2971.7143841705301</v>
      </c>
      <c r="M59" s="156">
        <f t="shared" si="6"/>
        <v>3046.0072437747931</v>
      </c>
      <c r="N59" s="156">
        <f t="shared" si="6"/>
        <v>3122.1574248691627</v>
      </c>
      <c r="O59" s="156">
        <f t="shared" si="6"/>
        <v>3200.2113604908914</v>
      </c>
      <c r="P59" s="156">
        <f t="shared" si="6"/>
        <v>3280.2166445031635</v>
      </c>
      <c r="Q59" s="157">
        <f t="shared" si="6"/>
        <v>3362.2220606157421</v>
      </c>
      <c r="S59" s="167"/>
    </row>
    <row r="60" spans="2:19" x14ac:dyDescent="0.2">
      <c r="B60" s="18" t="s">
        <v>34</v>
      </c>
      <c r="C60" s="18"/>
      <c r="D60" s="18"/>
      <c r="E60" s="207">
        <f>((E7*1000)-(E52*E58)-(E59*E53))/(2*E54)</f>
        <v>2.6941551724137933</v>
      </c>
      <c r="F60" s="111">
        <f>((F7*1000)-(F52*F58)-(F59*F53))/(2*F54)</f>
        <v>3.2083232471264376</v>
      </c>
      <c r="G60" s="209">
        <f>((G7*1000)-(G52*G58)-(G59*G53))/(2*G54)</f>
        <v>3.0366526297777781</v>
      </c>
      <c r="H60" s="209">
        <f t="shared" ref="H60:Q60" si="7">((H7*1000)-(H52*H58)-(H59*H53))/(2*H54)</f>
        <v>3.0524175475144451</v>
      </c>
      <c r="I60" s="209">
        <f t="shared" si="7"/>
        <v>2.9859999337087006</v>
      </c>
      <c r="J60" s="209">
        <f t="shared" si="7"/>
        <v>2.7604720044149373</v>
      </c>
      <c r="K60" s="209">
        <f t="shared" si="7"/>
        <v>2.7884249564837114</v>
      </c>
      <c r="L60" s="209">
        <f t="shared" si="7"/>
        <v>2.8088639525799781</v>
      </c>
      <c r="M60" s="209">
        <f t="shared" si="7"/>
        <v>2.704535290699301</v>
      </c>
      <c r="N60" s="209">
        <f t="shared" si="7"/>
        <v>2.7205760281472751</v>
      </c>
      <c r="O60" s="209">
        <f t="shared" si="7"/>
        <v>2.736216113292476</v>
      </c>
      <c r="P60" s="209">
        <f t="shared" si="7"/>
        <v>2.7741624034166876</v>
      </c>
      <c r="Q60" s="209">
        <f t="shared" si="7"/>
        <v>2.6770116668129895</v>
      </c>
      <c r="S60" s="6"/>
    </row>
    <row r="61" spans="2:19" x14ac:dyDescent="0.2">
      <c r="B61" s="18" t="s">
        <v>35</v>
      </c>
      <c r="C61" s="18"/>
      <c r="D61" s="18"/>
      <c r="E61" s="208">
        <f>E60*(E54/E55)</f>
        <v>0.68938676470588234</v>
      </c>
      <c r="F61" s="112">
        <f>F60*(F54/F55)</f>
        <v>0.82095330147058843</v>
      </c>
      <c r="G61" s="210">
        <f t="shared" ref="G61:Q61" si="8">G60*(G54/G55)</f>
        <v>0.75916315744444451</v>
      </c>
      <c r="H61" s="210">
        <f t="shared" si="8"/>
        <v>0.76310438687861126</v>
      </c>
      <c r="I61" s="210">
        <f t="shared" si="8"/>
        <v>0.74649998342717516</v>
      </c>
      <c r="J61" s="210">
        <f t="shared" si="8"/>
        <v>0.64996568103951702</v>
      </c>
      <c r="K61" s="210">
        <f t="shared" si="8"/>
        <v>0.64133773999125365</v>
      </c>
      <c r="L61" s="210">
        <f t="shared" si="8"/>
        <v>0.646038709093395</v>
      </c>
      <c r="M61" s="210">
        <f t="shared" si="8"/>
        <v>0.62204311686083924</v>
      </c>
      <c r="N61" s="210">
        <f t="shared" si="8"/>
        <v>0.62573248647387325</v>
      </c>
      <c r="O61" s="210">
        <f t="shared" si="8"/>
        <v>0.62932970605726957</v>
      </c>
      <c r="P61" s="210">
        <f t="shared" si="8"/>
        <v>0.63805735278583819</v>
      </c>
      <c r="Q61" s="211">
        <f t="shared" si="8"/>
        <v>0.61571268336698759</v>
      </c>
    </row>
    <row r="62" spans="2:19" x14ac:dyDescent="0.2">
      <c r="M62" s="1"/>
    </row>
    <row r="63" spans="2:19" x14ac:dyDescent="0.2">
      <c r="B63" s="11" t="s">
        <v>132</v>
      </c>
      <c r="C63" s="11"/>
      <c r="D63" s="11"/>
    </row>
    <row r="64" spans="2:19" x14ac:dyDescent="0.2">
      <c r="B64" s="18" t="s">
        <v>34</v>
      </c>
      <c r="C64" s="18"/>
      <c r="D64" s="18"/>
      <c r="E64" s="236">
        <f t="shared" ref="E64:Q64" si="9">(E$112*1000*50%)/E$27</f>
        <v>0</v>
      </c>
      <c r="F64" s="237">
        <f t="shared" si="9"/>
        <v>0</v>
      </c>
      <c r="G64" s="237">
        <f t="shared" si="9"/>
        <v>0</v>
      </c>
      <c r="H64" s="237">
        <f t="shared" si="9"/>
        <v>0.24781412103910741</v>
      </c>
      <c r="I64" s="237">
        <f t="shared" si="9"/>
        <v>0</v>
      </c>
      <c r="J64" s="237">
        <f t="shared" si="9"/>
        <v>0</v>
      </c>
      <c r="K64" s="237">
        <f t="shared" si="9"/>
        <v>0</v>
      </c>
      <c r="L64" s="237">
        <f t="shared" si="9"/>
        <v>0</v>
      </c>
      <c r="M64" s="237">
        <f t="shared" si="9"/>
        <v>0</v>
      </c>
      <c r="N64" s="237">
        <f t="shared" si="9"/>
        <v>0</v>
      </c>
      <c r="O64" s="237">
        <f t="shared" si="9"/>
        <v>-0.37548132111130944</v>
      </c>
      <c r="P64" s="237">
        <f t="shared" si="9"/>
        <v>0</v>
      </c>
      <c r="Q64" s="238">
        <f t="shared" si="9"/>
        <v>0</v>
      </c>
      <c r="S64" s="167"/>
    </row>
    <row r="65" spans="2:19" x14ac:dyDescent="0.2">
      <c r="B65" s="18" t="s">
        <v>35</v>
      </c>
      <c r="C65" s="18"/>
      <c r="D65" s="18"/>
      <c r="E65" s="208">
        <f t="shared" ref="E65:Q65" si="10">(E$112*1000*50%)/E$28</f>
        <v>0</v>
      </c>
      <c r="F65" s="210">
        <f t="shared" si="10"/>
        <v>0</v>
      </c>
      <c r="G65" s="210">
        <f t="shared" si="10"/>
        <v>0</v>
      </c>
      <c r="H65" s="210">
        <f t="shared" si="10"/>
        <v>6.1953530259776853E-2</v>
      </c>
      <c r="I65" s="210">
        <f t="shared" si="10"/>
        <v>0</v>
      </c>
      <c r="J65" s="210">
        <f t="shared" si="10"/>
        <v>0</v>
      </c>
      <c r="K65" s="210">
        <f t="shared" si="10"/>
        <v>0</v>
      </c>
      <c r="L65" s="210">
        <f t="shared" si="10"/>
        <v>0</v>
      </c>
      <c r="M65" s="210">
        <f t="shared" si="10"/>
        <v>0</v>
      </c>
      <c r="N65" s="210">
        <f t="shared" si="10"/>
        <v>0</v>
      </c>
      <c r="O65" s="210">
        <f t="shared" si="10"/>
        <v>-8.636070385560117E-2</v>
      </c>
      <c r="P65" s="210">
        <f t="shared" si="10"/>
        <v>0</v>
      </c>
      <c r="Q65" s="211">
        <f t="shared" si="10"/>
        <v>0</v>
      </c>
    </row>
    <row r="67" spans="2:19" x14ac:dyDescent="0.2">
      <c r="B67" s="11" t="s">
        <v>133</v>
      </c>
      <c r="C67" s="11"/>
      <c r="D67" s="11"/>
      <c r="E67" s="3" t="s">
        <v>12</v>
      </c>
      <c r="F67" s="3" t="s">
        <v>13</v>
      </c>
      <c r="G67" s="3" t="s">
        <v>14</v>
      </c>
      <c r="H67" s="3" t="s">
        <v>15</v>
      </c>
      <c r="I67" s="3" t="s">
        <v>16</v>
      </c>
      <c r="J67" s="3" t="s">
        <v>17</v>
      </c>
      <c r="K67" s="3" t="s">
        <v>18</v>
      </c>
      <c r="L67" s="3" t="s">
        <v>19</v>
      </c>
      <c r="M67" s="77" t="s">
        <v>20</v>
      </c>
      <c r="N67" s="3" t="s">
        <v>21</v>
      </c>
      <c r="O67" s="3" t="s">
        <v>22</v>
      </c>
      <c r="P67" s="3" t="s">
        <v>23</v>
      </c>
      <c r="Q67" s="3" t="s">
        <v>24</v>
      </c>
    </row>
    <row r="68" spans="2:19" x14ac:dyDescent="0.2">
      <c r="B68" s="18" t="s">
        <v>32</v>
      </c>
      <c r="C68" s="18"/>
      <c r="D68" s="18"/>
      <c r="E68" s="152">
        <f>E58</f>
        <v>0.5</v>
      </c>
      <c r="F68" s="153">
        <f t="shared" ref="F68:Q68" si="11">F31</f>
        <v>0.51749999999999996</v>
      </c>
      <c r="G68" s="153">
        <f t="shared" si="11"/>
        <v>0.53561249999999994</v>
      </c>
      <c r="H68" s="153">
        <f t="shared" si="11"/>
        <v>0.55435893749999987</v>
      </c>
      <c r="I68" s="153">
        <f t="shared" si="11"/>
        <v>0.57376150031249984</v>
      </c>
      <c r="J68" s="153">
        <f t="shared" si="11"/>
        <v>0.59384315282343725</v>
      </c>
      <c r="K68" s="153">
        <f t="shared" si="11"/>
        <v>0.61462766317225748</v>
      </c>
      <c r="L68" s="153">
        <f t="shared" si="11"/>
        <v>0.63613963138328644</v>
      </c>
      <c r="M68" s="153">
        <f t="shared" si="11"/>
        <v>0.65840451848170145</v>
      </c>
      <c r="N68" s="153">
        <f t="shared" si="11"/>
        <v>0.6814486766285609</v>
      </c>
      <c r="O68" s="153">
        <f t="shared" si="11"/>
        <v>0.7052993803105605</v>
      </c>
      <c r="P68" s="153">
        <f t="shared" si="11"/>
        <v>0.72998485862143003</v>
      </c>
      <c r="Q68" s="154">
        <f t="shared" si="11"/>
        <v>0.75553432867318004</v>
      </c>
    </row>
    <row r="69" spans="2:19" x14ac:dyDescent="0.2">
      <c r="B69" s="18" t="s">
        <v>33</v>
      </c>
      <c r="C69" s="18"/>
      <c r="D69" s="18"/>
      <c r="E69" s="155">
        <f>E59</f>
        <v>2500</v>
      </c>
      <c r="F69" s="156">
        <f t="shared" ref="F69:Q69" si="12">F32</f>
        <v>2562.5</v>
      </c>
      <c r="G69" s="156">
        <f t="shared" si="12"/>
        <v>2626.5624999999995</v>
      </c>
      <c r="H69" s="156">
        <f t="shared" si="12"/>
        <v>2692.2265624999991</v>
      </c>
      <c r="I69" s="156">
        <f t="shared" si="12"/>
        <v>2759.5322265624986</v>
      </c>
      <c r="J69" s="156">
        <f t="shared" si="12"/>
        <v>2828.520532226561</v>
      </c>
      <c r="K69" s="156">
        <f t="shared" si="12"/>
        <v>2899.233545532225</v>
      </c>
      <c r="L69" s="156">
        <f t="shared" si="12"/>
        <v>2971.7143841705301</v>
      </c>
      <c r="M69" s="156">
        <f t="shared" si="12"/>
        <v>3046.0072437747931</v>
      </c>
      <c r="N69" s="156">
        <f t="shared" si="12"/>
        <v>3122.1574248691627</v>
      </c>
      <c r="O69" s="156">
        <f t="shared" si="12"/>
        <v>3200.2113604908914</v>
      </c>
      <c r="P69" s="156">
        <f t="shared" si="12"/>
        <v>3280.2166445031635</v>
      </c>
      <c r="Q69" s="157">
        <f t="shared" si="12"/>
        <v>3362.2220606157421</v>
      </c>
    </row>
    <row r="70" spans="2:19" x14ac:dyDescent="0.2">
      <c r="B70" s="18" t="s">
        <v>34</v>
      </c>
      <c r="C70" s="18"/>
      <c r="D70" s="18"/>
      <c r="E70" s="230">
        <f>E60+E64</f>
        <v>2.6941551724137933</v>
      </c>
      <c r="F70" s="231">
        <f>F60+F64</f>
        <v>3.2083232471264376</v>
      </c>
      <c r="G70" s="231">
        <f t="shared" ref="G70:Q70" si="13">G60+G64</f>
        <v>3.0366526297777781</v>
      </c>
      <c r="H70" s="231">
        <f t="shared" si="13"/>
        <v>3.3002316685535527</v>
      </c>
      <c r="I70" s="231">
        <f t="shared" si="13"/>
        <v>2.9859999337087006</v>
      </c>
      <c r="J70" s="231">
        <f t="shared" si="13"/>
        <v>2.7604720044149373</v>
      </c>
      <c r="K70" s="231">
        <f t="shared" si="13"/>
        <v>2.7884249564837114</v>
      </c>
      <c r="L70" s="231">
        <f t="shared" si="13"/>
        <v>2.8088639525799781</v>
      </c>
      <c r="M70" s="231">
        <f t="shared" si="13"/>
        <v>2.704535290699301</v>
      </c>
      <c r="N70" s="231">
        <f t="shared" si="13"/>
        <v>2.7205760281472751</v>
      </c>
      <c r="O70" s="231">
        <f t="shared" si="13"/>
        <v>2.3607347921811668</v>
      </c>
      <c r="P70" s="231">
        <f t="shared" si="13"/>
        <v>2.7741624034166876</v>
      </c>
      <c r="Q70" s="232">
        <f t="shared" si="13"/>
        <v>2.6770116668129895</v>
      </c>
    </row>
    <row r="71" spans="2:19" x14ac:dyDescent="0.2">
      <c r="B71" s="18" t="s">
        <v>35</v>
      </c>
      <c r="C71" s="18"/>
      <c r="D71" s="18"/>
      <c r="E71" s="233">
        <f>E61+E65</f>
        <v>0.68938676470588234</v>
      </c>
      <c r="F71" s="234">
        <f>F61+F65</f>
        <v>0.82095330147058843</v>
      </c>
      <c r="G71" s="234">
        <f t="shared" ref="G71:Q71" si="14">G61+G65</f>
        <v>0.75916315744444451</v>
      </c>
      <c r="H71" s="234">
        <f t="shared" si="14"/>
        <v>0.82505791713838816</v>
      </c>
      <c r="I71" s="234">
        <f t="shared" si="14"/>
        <v>0.74649998342717516</v>
      </c>
      <c r="J71" s="234">
        <f t="shared" si="14"/>
        <v>0.64996568103951702</v>
      </c>
      <c r="K71" s="234">
        <f t="shared" si="14"/>
        <v>0.64133773999125365</v>
      </c>
      <c r="L71" s="234">
        <f t="shared" si="14"/>
        <v>0.646038709093395</v>
      </c>
      <c r="M71" s="234">
        <f t="shared" si="14"/>
        <v>0.62204311686083924</v>
      </c>
      <c r="N71" s="234">
        <f t="shared" si="14"/>
        <v>0.62573248647387325</v>
      </c>
      <c r="O71" s="234">
        <f t="shared" si="14"/>
        <v>0.54296900220166844</v>
      </c>
      <c r="P71" s="234">
        <f t="shared" si="14"/>
        <v>0.63805735278583819</v>
      </c>
      <c r="Q71" s="235">
        <f t="shared" si="14"/>
        <v>0.61571268336698759</v>
      </c>
    </row>
    <row r="73" spans="2:19" x14ac:dyDescent="0.2">
      <c r="B73" s="204" t="s">
        <v>122</v>
      </c>
      <c r="C73" s="204"/>
      <c r="D73" s="204"/>
      <c r="E73" s="3" t="s">
        <v>12</v>
      </c>
      <c r="F73" s="3" t="s">
        <v>13</v>
      </c>
      <c r="G73" s="3" t="s">
        <v>14</v>
      </c>
      <c r="H73" s="3" t="s">
        <v>15</v>
      </c>
      <c r="I73" s="3" t="s">
        <v>16</v>
      </c>
      <c r="J73" s="3" t="s">
        <v>17</v>
      </c>
      <c r="K73" s="3" t="s">
        <v>18</v>
      </c>
      <c r="L73" s="3" t="s">
        <v>19</v>
      </c>
      <c r="M73" s="3" t="s">
        <v>20</v>
      </c>
      <c r="N73" s="3" t="s">
        <v>21</v>
      </c>
      <c r="O73" s="3" t="s">
        <v>22</v>
      </c>
      <c r="P73" s="3" t="s">
        <v>23</v>
      </c>
      <c r="Q73" s="3" t="s">
        <v>24</v>
      </c>
      <c r="S73" s="167"/>
    </row>
    <row r="74" spans="2:19" x14ac:dyDescent="0.2">
      <c r="B74" s="18" t="s">
        <v>32</v>
      </c>
      <c r="C74" s="18"/>
      <c r="D74" s="18"/>
      <c r="E74" s="175">
        <f>(E52*E68)/1000</f>
        <v>17273.25</v>
      </c>
      <c r="F74" s="176">
        <f t="shared" ref="F74:Q74" si="15">(F52*F68)/1000</f>
        <v>17877.813750000001</v>
      </c>
      <c r="G74" s="176">
        <f t="shared" si="15"/>
        <v>19141.291034999995</v>
      </c>
      <c r="H74" s="176">
        <f t="shared" si="15"/>
        <v>19811.236221224997</v>
      </c>
      <c r="I74" s="176">
        <f t="shared" si="15"/>
        <v>20504.629488967868</v>
      </c>
      <c r="J74" s="176">
        <f t="shared" si="15"/>
        <v>24429.124715153932</v>
      </c>
      <c r="K74" s="176">
        <f t="shared" si="15"/>
        <v>26944.385543360168</v>
      </c>
      <c r="L74" s="176">
        <f t="shared" si="15"/>
        <v>27887.439037377771</v>
      </c>
      <c r="M74" s="176">
        <f t="shared" si="15"/>
        <v>28863.499403685993</v>
      </c>
      <c r="N74" s="176">
        <f t="shared" si="15"/>
        <v>29873.721882815</v>
      </c>
      <c r="O74" s="176">
        <f t="shared" si="15"/>
        <v>30919.302148713523</v>
      </c>
      <c r="P74" s="176">
        <f t="shared" si="15"/>
        <v>32001.477723918491</v>
      </c>
      <c r="Q74" s="177">
        <f t="shared" si="15"/>
        <v>33121.529444255641</v>
      </c>
    </row>
    <row r="75" spans="2:19" x14ac:dyDescent="0.2">
      <c r="B75" s="18" t="s">
        <v>33</v>
      </c>
      <c r="C75" s="18"/>
      <c r="D75" s="18"/>
      <c r="E75" s="178">
        <f t="shared" ref="E75:Q77" si="16">(E53*E69)/1000</f>
        <v>50005</v>
      </c>
      <c r="F75" s="179">
        <f t="shared" si="16"/>
        <v>51255.125</v>
      </c>
      <c r="G75" s="179">
        <f t="shared" si="16"/>
        <v>55625.34062499999</v>
      </c>
      <c r="H75" s="179">
        <f t="shared" si="16"/>
        <v>57015.974140624974</v>
      </c>
      <c r="I75" s="179">
        <f t="shared" si="16"/>
        <v>58441.373494140593</v>
      </c>
      <c r="J75" s="179">
        <f t="shared" si="16"/>
        <v>73213.425456152312</v>
      </c>
      <c r="K75" s="179">
        <f t="shared" si="16"/>
        <v>81868.556858738972</v>
      </c>
      <c r="L75" s="179">
        <f t="shared" si="16"/>
        <v>83915.270780207429</v>
      </c>
      <c r="M75" s="179">
        <f t="shared" si="16"/>
        <v>86013.152549712613</v>
      </c>
      <c r="N75" s="179">
        <f t="shared" si="16"/>
        <v>88163.481363455416</v>
      </c>
      <c r="O75" s="179">
        <f t="shared" si="16"/>
        <v>90367.568397541792</v>
      </c>
      <c r="P75" s="179">
        <f t="shared" si="16"/>
        <v>92626.757607480336</v>
      </c>
      <c r="Q75" s="180">
        <f t="shared" si="16"/>
        <v>94942.426547667332</v>
      </c>
    </row>
    <row r="76" spans="2:19" x14ac:dyDescent="0.2">
      <c r="B76" s="18" t="s">
        <v>34</v>
      </c>
      <c r="C76" s="18"/>
      <c r="D76" s="18"/>
      <c r="E76" s="178">
        <f t="shared" si="16"/>
        <v>58597.875000000007</v>
      </c>
      <c r="F76" s="179">
        <f t="shared" si="16"/>
        <v>69781.030625000014</v>
      </c>
      <c r="G76" s="179">
        <f t="shared" si="16"/>
        <v>68324.684170000008</v>
      </c>
      <c r="H76" s="179">
        <f t="shared" si="16"/>
        <v>74255.21254245493</v>
      </c>
      <c r="I76" s="179">
        <f t="shared" si="16"/>
        <v>67184.998508445773</v>
      </c>
      <c r="J76" s="179">
        <f t="shared" si="16"/>
        <v>71496.22491434688</v>
      </c>
      <c r="K76" s="179">
        <f t="shared" si="16"/>
        <v>76960.528798950429</v>
      </c>
      <c r="L76" s="179">
        <f t="shared" si="16"/>
        <v>77524.645091207407</v>
      </c>
      <c r="M76" s="179">
        <f t="shared" si="16"/>
        <v>74645.1740233007</v>
      </c>
      <c r="N76" s="179">
        <f t="shared" si="16"/>
        <v>75087.898376864789</v>
      </c>
      <c r="O76" s="179">
        <f t="shared" si="16"/>
        <v>65156.280264200206</v>
      </c>
      <c r="P76" s="179">
        <f t="shared" si="16"/>
        <v>76566.882334300579</v>
      </c>
      <c r="Q76" s="180">
        <f t="shared" si="16"/>
        <v>73885.522004038517</v>
      </c>
    </row>
    <row r="77" spans="2:19" x14ac:dyDescent="0.2">
      <c r="B77" s="18" t="s">
        <v>35</v>
      </c>
      <c r="C77" s="18"/>
      <c r="D77" s="18"/>
      <c r="E77" s="178">
        <f t="shared" si="16"/>
        <v>58597.875</v>
      </c>
      <c r="F77" s="179">
        <f t="shared" si="16"/>
        <v>69781.030625000014</v>
      </c>
      <c r="G77" s="179">
        <f t="shared" si="16"/>
        <v>68324.684170000008</v>
      </c>
      <c r="H77" s="179">
        <f t="shared" si="16"/>
        <v>74255.21254245493</v>
      </c>
      <c r="I77" s="179">
        <f t="shared" si="16"/>
        <v>67184.998508445773</v>
      </c>
      <c r="J77" s="179">
        <f t="shared" si="16"/>
        <v>71496.22491434688</v>
      </c>
      <c r="K77" s="179">
        <f t="shared" si="16"/>
        <v>76960.528798950429</v>
      </c>
      <c r="L77" s="179">
        <f t="shared" si="16"/>
        <v>77524.645091207407</v>
      </c>
      <c r="M77" s="179">
        <f t="shared" si="16"/>
        <v>74645.1740233007</v>
      </c>
      <c r="N77" s="179">
        <f t="shared" si="16"/>
        <v>75087.898376864789</v>
      </c>
      <c r="O77" s="179">
        <f t="shared" si="16"/>
        <v>65156.280264200213</v>
      </c>
      <c r="P77" s="179">
        <f t="shared" si="16"/>
        <v>76566.882334300579</v>
      </c>
      <c r="Q77" s="180">
        <f t="shared" si="16"/>
        <v>73885.522004038517</v>
      </c>
    </row>
    <row r="78" spans="2:19" x14ac:dyDescent="0.2">
      <c r="B78" s="204" t="s">
        <v>122</v>
      </c>
      <c r="C78" s="204"/>
      <c r="D78" s="204"/>
      <c r="E78" s="31">
        <f>SUM(E74:E77)</f>
        <v>184474</v>
      </c>
      <c r="F78" s="32">
        <f t="shared" ref="F78:Q78" si="17">SUM(F74:F77)</f>
        <v>208695.00000000003</v>
      </c>
      <c r="G78" s="32">
        <f t="shared" si="17"/>
        <v>211416</v>
      </c>
      <c r="H78" s="32">
        <f t="shared" si="17"/>
        <v>225337.63544675981</v>
      </c>
      <c r="I78" s="32">
        <f t="shared" si="17"/>
        <v>213316</v>
      </c>
      <c r="J78" s="32">
        <f t="shared" si="17"/>
        <v>240635</v>
      </c>
      <c r="K78" s="32">
        <f t="shared" si="17"/>
        <v>262734</v>
      </c>
      <c r="L78" s="32">
        <f t="shared" si="17"/>
        <v>266852</v>
      </c>
      <c r="M78" s="32">
        <f t="shared" si="17"/>
        <v>264167</v>
      </c>
      <c r="N78" s="32">
        <f t="shared" si="17"/>
        <v>268213</v>
      </c>
      <c r="O78" s="32">
        <f t="shared" si="17"/>
        <v>251599.43107465573</v>
      </c>
      <c r="P78" s="32">
        <f t="shared" si="17"/>
        <v>277762</v>
      </c>
      <c r="Q78" s="33">
        <f t="shared" si="17"/>
        <v>275835</v>
      </c>
    </row>
    <row r="80" spans="2:19" s="239" customFormat="1" x14ac:dyDescent="0.2"/>
    <row r="81" spans="2:17" ht="3" customHeight="1" x14ac:dyDescent="0.2"/>
    <row r="82" spans="2:17" x14ac:dyDescent="0.2">
      <c r="B82" s="11" t="s">
        <v>78</v>
      </c>
      <c r="C82" s="11"/>
      <c r="D82" s="11"/>
      <c r="E82" s="3" t="s">
        <v>12</v>
      </c>
      <c r="F82" s="3" t="s">
        <v>13</v>
      </c>
      <c r="G82" s="3" t="s">
        <v>14</v>
      </c>
      <c r="H82" s="3" t="s">
        <v>15</v>
      </c>
      <c r="I82" s="3" t="s">
        <v>16</v>
      </c>
      <c r="J82" s="3" t="s">
        <v>17</v>
      </c>
      <c r="K82" s="3" t="s">
        <v>18</v>
      </c>
      <c r="L82" s="3" t="s">
        <v>19</v>
      </c>
      <c r="M82" s="77" t="s">
        <v>20</v>
      </c>
      <c r="N82" s="3" t="s">
        <v>21</v>
      </c>
      <c r="O82" s="3" t="s">
        <v>22</v>
      </c>
      <c r="P82" s="3" t="s">
        <v>23</v>
      </c>
      <c r="Q82" s="3" t="s">
        <v>24</v>
      </c>
    </row>
    <row r="83" spans="2:17" x14ac:dyDescent="0.2">
      <c r="B83" s="10" t="s">
        <v>48</v>
      </c>
      <c r="C83" s="10"/>
      <c r="D83" s="10"/>
      <c r="E83" s="175">
        <f>(E84*AVERAGE(Assumptions!$D$17,Assumptions!$D$18)*Assumptions!$D$15)/1000</f>
        <v>28588950</v>
      </c>
      <c r="F83" s="175">
        <f>(F84*AVERAGE(Assumptions!$D$17,Assumptions!$D$18)*Assumptions!$D$15)/1000</f>
        <v>28588950</v>
      </c>
      <c r="G83" s="175">
        <f>(G84*AVERAGE(Assumptions!$D$17,Assumptions!$D$18)*Assumptions!$D$15)/1000</f>
        <v>28588950</v>
      </c>
      <c r="H83" s="175">
        <f>(H84*AVERAGE(Assumptions!$D$17,Assumptions!$D$18)*Assumptions!$D$15)/1000</f>
        <v>28588950</v>
      </c>
      <c r="I83" s="175">
        <f>(I84*AVERAGE(Assumptions!$D$17,Assumptions!$D$18)*Assumptions!$D$15)/1000</f>
        <v>28588950</v>
      </c>
      <c r="J83" s="175">
        <f>(J84*AVERAGE(Assumptions!$D$17,Assumptions!$D$18)*Assumptions!$D$15)/1000</f>
        <v>28588950</v>
      </c>
      <c r="K83" s="175">
        <f>(K84*AVERAGE(Assumptions!$D$17,Assumptions!$D$18)*Assumptions!$D$15)/1000</f>
        <v>28588950</v>
      </c>
      <c r="L83" s="175">
        <f>(L84*AVERAGE(Assumptions!$D$17,Assumptions!$D$18)*Assumptions!$D$15)/1000</f>
        <v>28588950</v>
      </c>
      <c r="M83" s="175">
        <f>(M84*AVERAGE(Assumptions!$D$17,Assumptions!$D$18)*Assumptions!$D$15)/1000</f>
        <v>28588950</v>
      </c>
      <c r="N83" s="175">
        <f>(N84*AVERAGE(Assumptions!$D$17,Assumptions!$D$18)*Assumptions!$D$15)/1000</f>
        <v>28588950</v>
      </c>
      <c r="O83" s="175">
        <f>(O84*AVERAGE(Assumptions!$D$17,Assumptions!$D$18)*Assumptions!$D$15)/1000</f>
        <v>28588950</v>
      </c>
      <c r="P83" s="175">
        <f>(P84*AVERAGE(Assumptions!$D$17,Assumptions!$D$18)*Assumptions!$D$15)/1000</f>
        <v>28588950</v>
      </c>
      <c r="Q83" s="205">
        <f>(Q84*AVERAGE(Assumptions!$D$17,Assumptions!$D$18)*Assumptions!$D$15)/1000</f>
        <v>28588950</v>
      </c>
    </row>
    <row r="84" spans="2:17" x14ac:dyDescent="0.2">
      <c r="B84" s="10" t="s">
        <v>49</v>
      </c>
      <c r="C84" s="10"/>
      <c r="D84" s="10"/>
      <c r="E84" s="178">
        <f>ROUNDUP(E86/Assumptions!$D$16,0)*2</f>
        <v>14118</v>
      </c>
      <c r="F84" s="178">
        <f>ROUNDUP(F86/Assumptions!$D$16,0)*2</f>
        <v>14118</v>
      </c>
      <c r="G84" s="178">
        <f>ROUNDUP(G86/Assumptions!$D$16,0)*2</f>
        <v>14118</v>
      </c>
      <c r="H84" s="178">
        <f>ROUNDUP(H86/Assumptions!$D$16,0)*2</f>
        <v>14118</v>
      </c>
      <c r="I84" s="178">
        <f>ROUNDUP(I86/Assumptions!$D$16,0)*2</f>
        <v>14118</v>
      </c>
      <c r="J84" s="178">
        <f>ROUNDUP(J86/Assumptions!$D$16,0)*2</f>
        <v>14118</v>
      </c>
      <c r="K84" s="178">
        <f>ROUNDUP(K86/Assumptions!$D$16,0)*2</f>
        <v>14118</v>
      </c>
      <c r="L84" s="178">
        <f>ROUNDUP(L86/Assumptions!$D$16,0)*2</f>
        <v>14118</v>
      </c>
      <c r="M84" s="178">
        <f>ROUNDUP(M86/Assumptions!$D$16,0)*2</f>
        <v>14118</v>
      </c>
      <c r="N84" s="178">
        <f>ROUNDUP(N86/Assumptions!$D$16,0)*2</f>
        <v>14118</v>
      </c>
      <c r="O84" s="178">
        <f>ROUNDUP(O86/Assumptions!$D$16,0)*2</f>
        <v>14118</v>
      </c>
      <c r="P84" s="178">
        <f>ROUNDUP(P86/Assumptions!$D$16,0)*2</f>
        <v>14118</v>
      </c>
      <c r="Q84" s="206">
        <f>ROUNDUP(Q86/Assumptions!$D$16,0)*2</f>
        <v>14118</v>
      </c>
    </row>
    <row r="85" spans="2:17" x14ac:dyDescent="0.2">
      <c r="B85" s="10" t="s">
        <v>50</v>
      </c>
      <c r="C85" s="10"/>
      <c r="D85" s="10"/>
      <c r="E85" s="178">
        <f>(E86*Assumptions!$D$15)/1000</f>
        <v>18000000</v>
      </c>
      <c r="F85" s="178">
        <f>(F86*Assumptions!$D$15)/1000</f>
        <v>18000000</v>
      </c>
      <c r="G85" s="178">
        <f>(G86*Assumptions!$D$15)/1000</f>
        <v>18000000</v>
      </c>
      <c r="H85" s="178">
        <f>(H86*Assumptions!$D$15)/1000</f>
        <v>18000000</v>
      </c>
      <c r="I85" s="178">
        <f>(I86*Assumptions!$D$15)/1000</f>
        <v>18000000</v>
      </c>
      <c r="J85" s="178">
        <f>(J86*Assumptions!$D$15)/1000</f>
        <v>18000000</v>
      </c>
      <c r="K85" s="178">
        <f>(K86*Assumptions!$D$15)/1000</f>
        <v>18000000</v>
      </c>
      <c r="L85" s="178">
        <f>(L86*Assumptions!$D$15)/1000</f>
        <v>18000000</v>
      </c>
      <c r="M85" s="178">
        <f>(M86*Assumptions!$D$15)/1000</f>
        <v>18000000</v>
      </c>
      <c r="N85" s="178">
        <f>(N86*Assumptions!$D$15)/1000</f>
        <v>18000000</v>
      </c>
      <c r="O85" s="178">
        <f>(O86*Assumptions!$D$15)/1000</f>
        <v>18000000</v>
      </c>
      <c r="P85" s="178">
        <f>(P86*Assumptions!$D$15)/1000</f>
        <v>18000000</v>
      </c>
      <c r="Q85" s="206">
        <f>(Q86*Assumptions!$D$15)/1000</f>
        <v>18000000</v>
      </c>
    </row>
    <row r="86" spans="2:17" x14ac:dyDescent="0.2">
      <c r="B86" s="10" t="s">
        <v>51</v>
      </c>
      <c r="C86" s="10"/>
      <c r="D86" s="10"/>
      <c r="E86" s="124">
        <f>Assumptions!E26</f>
        <v>60000000</v>
      </c>
      <c r="F86" s="124">
        <f>Assumptions!F26</f>
        <v>60000000</v>
      </c>
      <c r="G86" s="124">
        <f>Assumptions!G26</f>
        <v>60000000</v>
      </c>
      <c r="H86" s="124">
        <f>Assumptions!H26</f>
        <v>60000000</v>
      </c>
      <c r="I86" s="124">
        <f>Assumptions!I26</f>
        <v>60000000</v>
      </c>
      <c r="J86" s="124">
        <f>Assumptions!J26</f>
        <v>60000000</v>
      </c>
      <c r="K86" s="124">
        <f>Assumptions!K26</f>
        <v>60000000</v>
      </c>
      <c r="L86" s="124">
        <f>Assumptions!L26</f>
        <v>60000000</v>
      </c>
      <c r="M86" s="124">
        <f>Assumptions!M26</f>
        <v>60000000</v>
      </c>
      <c r="N86" s="124">
        <f>Assumptions!N26</f>
        <v>60000000</v>
      </c>
      <c r="O86" s="124">
        <f>Assumptions!O26</f>
        <v>60000000</v>
      </c>
      <c r="P86" s="124">
        <f>Assumptions!P26</f>
        <v>60000000</v>
      </c>
      <c r="Q86" s="193">
        <f>Assumptions!Q26</f>
        <v>60000000</v>
      </c>
    </row>
    <row r="88" spans="2:17" x14ac:dyDescent="0.2">
      <c r="B88" s="10" t="s">
        <v>52</v>
      </c>
      <c r="C88" s="10"/>
      <c r="D88" s="10"/>
      <c r="E88" s="175">
        <f>(E89*AVERAGE(Assumptions!$E$17,Assumptions!$E$18)*Assumptions!$E$15)/1000</f>
        <v>5957550</v>
      </c>
      <c r="F88" s="175">
        <f>(F89*AVERAGE(Assumptions!$E$17,Assumptions!$E$18)*Assumptions!$E$15)/1000</f>
        <v>4764825</v>
      </c>
      <c r="G88" s="175">
        <f>(G89*AVERAGE(Assumptions!$E$17,Assumptions!$E$18)*Assumptions!$E$15)/1000</f>
        <v>7148250</v>
      </c>
      <c r="H88" s="175">
        <f>(H89*AVERAGE(Assumptions!$E$17,Assumptions!$E$18)*Assumptions!$E$15)/1000</f>
        <v>7148250</v>
      </c>
      <c r="I88" s="175">
        <f>(I89*AVERAGE(Assumptions!$E$17,Assumptions!$E$18)*Assumptions!$E$15)/1000</f>
        <v>7148250</v>
      </c>
      <c r="J88" s="175">
        <f>(J89*AVERAGE(Assumptions!$E$17,Assumptions!$E$18)*Assumptions!$E$15)/1000</f>
        <v>7148250</v>
      </c>
      <c r="K88" s="175">
        <f>(K89*AVERAGE(Assumptions!$E$17,Assumptions!$E$18)*Assumptions!$E$15)/1000</f>
        <v>7148250</v>
      </c>
      <c r="L88" s="175">
        <f>(L89*AVERAGE(Assumptions!$E$17,Assumptions!$E$18)*Assumptions!$E$15)/1000</f>
        <v>7148250</v>
      </c>
      <c r="M88" s="175">
        <f>(M89*AVERAGE(Assumptions!$E$17,Assumptions!$E$18)*Assumptions!$E$15)/1000</f>
        <v>8338950</v>
      </c>
      <c r="N88" s="175">
        <f>(N89*AVERAGE(Assumptions!$E$17,Assumptions!$E$18)*Assumptions!$E$15)/1000</f>
        <v>7148250</v>
      </c>
      <c r="O88" s="175">
        <f>(O89*AVERAGE(Assumptions!$E$17,Assumptions!$E$18)*Assumptions!$E$15)/1000</f>
        <v>7148250</v>
      </c>
      <c r="P88" s="175">
        <f>(P89*AVERAGE(Assumptions!$E$17,Assumptions!$E$18)*Assumptions!$E$15)/1000</f>
        <v>7148250</v>
      </c>
      <c r="Q88" s="205">
        <f>(Q89*AVERAGE(Assumptions!$E$17,Assumptions!$E$18)*Assumptions!$E$15)/1000</f>
        <v>7148250</v>
      </c>
    </row>
    <row r="89" spans="2:17" x14ac:dyDescent="0.2">
      <c r="B89" s="10" t="s">
        <v>53</v>
      </c>
      <c r="C89" s="10"/>
      <c r="D89" s="10"/>
      <c r="E89" s="178">
        <f>ROUNDUP(E91/Assumptions!$E$16,0)*2</f>
        <v>5884</v>
      </c>
      <c r="F89" s="178">
        <f>ROUNDUP(F91/Assumptions!$E$16,0)*2</f>
        <v>4706</v>
      </c>
      <c r="G89" s="178">
        <f>ROUNDUP(G91/Assumptions!$E$16,0)*2</f>
        <v>7060</v>
      </c>
      <c r="H89" s="178">
        <f>ROUNDUP(H91/Assumptions!$E$16,0)*2</f>
        <v>7060</v>
      </c>
      <c r="I89" s="178">
        <f>ROUNDUP(I91/Assumptions!$E$16,0)*2</f>
        <v>7060</v>
      </c>
      <c r="J89" s="178">
        <f>ROUNDUP(J91/Assumptions!$E$16,0)*2</f>
        <v>7060</v>
      </c>
      <c r="K89" s="178">
        <f>ROUNDUP(K91/Assumptions!$E$16,0)*2</f>
        <v>7060</v>
      </c>
      <c r="L89" s="178">
        <f>ROUNDUP(L91/Assumptions!$E$16,0)*2</f>
        <v>7060</v>
      </c>
      <c r="M89" s="178">
        <f>ROUNDUP(M91/Assumptions!$E$16,0)*2</f>
        <v>8236</v>
      </c>
      <c r="N89" s="178">
        <f>ROUNDUP(N91/Assumptions!$E$16,0)*2</f>
        <v>7060</v>
      </c>
      <c r="O89" s="178">
        <f>ROUNDUP(O91/Assumptions!$E$16,0)*2</f>
        <v>7060</v>
      </c>
      <c r="P89" s="178">
        <f>ROUNDUP(P91/Assumptions!$E$16,0)*2</f>
        <v>7060</v>
      </c>
      <c r="Q89" s="206">
        <f>ROUNDUP(Q91/Assumptions!$E$16,0)*2</f>
        <v>7060</v>
      </c>
    </row>
    <row r="90" spans="2:17" x14ac:dyDescent="0.2">
      <c r="B90" s="10" t="s">
        <v>54</v>
      </c>
      <c r="C90" s="10"/>
      <c r="D90" s="10"/>
      <c r="E90" s="178">
        <f>(E91*Assumptions!$E$15)/1000</f>
        <v>3750000</v>
      </c>
      <c r="F90" s="178">
        <f>(F91*Assumptions!$E$15)/1000</f>
        <v>3000000</v>
      </c>
      <c r="G90" s="178">
        <f>(G91*Assumptions!$E$15)/1000</f>
        <v>4500000</v>
      </c>
      <c r="H90" s="178">
        <f>(H91*Assumptions!$E$15)/1000</f>
        <v>4500000</v>
      </c>
      <c r="I90" s="178">
        <f>(I91*Assumptions!$E$15)/1000</f>
        <v>4500000</v>
      </c>
      <c r="J90" s="178">
        <f>(J91*Assumptions!$E$15)/1000</f>
        <v>4500000</v>
      </c>
      <c r="K90" s="178">
        <f>(K91*Assumptions!$E$15)/1000</f>
        <v>4500000</v>
      </c>
      <c r="L90" s="178">
        <f>(L91*Assumptions!$E$15)/1000</f>
        <v>4500000</v>
      </c>
      <c r="M90" s="178">
        <f>(M91*Assumptions!$E$15)/1000</f>
        <v>5250000</v>
      </c>
      <c r="N90" s="178">
        <f>(N91*Assumptions!$E$15)/1000</f>
        <v>4500000</v>
      </c>
      <c r="O90" s="178">
        <f>(O91*Assumptions!$E$15)/1000</f>
        <v>4500000</v>
      </c>
      <c r="P90" s="178">
        <f>(P91*Assumptions!$E$15)/1000</f>
        <v>4500000</v>
      </c>
      <c r="Q90" s="206">
        <f>(Q91*Assumptions!$E$15)/1000</f>
        <v>4500000</v>
      </c>
    </row>
    <row r="91" spans="2:17" x14ac:dyDescent="0.2">
      <c r="B91" s="10" t="s">
        <v>55</v>
      </c>
      <c r="C91" s="10"/>
      <c r="D91" s="10"/>
      <c r="E91" s="124">
        <f>Assumptions!E32</f>
        <v>25000000</v>
      </c>
      <c r="F91" s="200">
        <v>20000000</v>
      </c>
      <c r="G91" s="156">
        <f>Assumptions!G32</f>
        <v>30000000</v>
      </c>
      <c r="H91" s="156">
        <f>Assumptions!H32</f>
        <v>30000000</v>
      </c>
      <c r="I91" s="156">
        <f>Assumptions!I32</f>
        <v>30000000</v>
      </c>
      <c r="J91" s="156">
        <f>Assumptions!J32</f>
        <v>30000000</v>
      </c>
      <c r="K91" s="156">
        <f>Assumptions!K32</f>
        <v>30000000</v>
      </c>
      <c r="L91" s="156">
        <f>Assumptions!L32</f>
        <v>30000000</v>
      </c>
      <c r="M91" s="140">
        <v>35000000</v>
      </c>
      <c r="N91" s="156">
        <f>Assumptions!N32</f>
        <v>30000000</v>
      </c>
      <c r="O91" s="156">
        <f>Assumptions!O32</f>
        <v>30000000</v>
      </c>
      <c r="P91" s="156">
        <f>Assumptions!P32</f>
        <v>30000000</v>
      </c>
      <c r="Q91" s="156">
        <f>Assumptions!Q32</f>
        <v>30000000</v>
      </c>
    </row>
    <row r="93" spans="2:17" x14ac:dyDescent="0.2">
      <c r="B93" s="10" t="s">
        <v>56</v>
      </c>
      <c r="C93" s="10"/>
      <c r="D93" s="10"/>
      <c r="E93" s="175">
        <f>(E94*AVERAGE(Assumptions!$F$17,Assumptions!$F$18)*Assumptions!$F$15)/1000</f>
        <v>0</v>
      </c>
      <c r="F93" s="176">
        <f>(F94*AVERAGE(Assumptions!$F$17,Assumptions!$F$18)*Assumptions!$F$15)/1000</f>
        <v>0</v>
      </c>
      <c r="G93" s="176">
        <f>(G94*AVERAGE(Assumptions!$F$17,Assumptions!$F$18)*Assumptions!$F$15)/1000</f>
        <v>0</v>
      </c>
      <c r="H93" s="176">
        <f>(H94*AVERAGE(Assumptions!$F$17,Assumptions!$F$18)*Assumptions!$F$15)/1000</f>
        <v>0</v>
      </c>
      <c r="I93" s="176">
        <f>(I94*AVERAGE(Assumptions!$F$17,Assumptions!$F$18)*Assumptions!$F$15)/1000</f>
        <v>0</v>
      </c>
      <c r="J93" s="176">
        <f>(J94*AVERAGE(Assumptions!$F$17,Assumptions!$F$18)*Assumptions!$F$15)/1000</f>
        <v>5400135</v>
      </c>
      <c r="K93" s="176">
        <f>(K94*AVERAGE(Assumptions!$F$17,Assumptions!$F$18)*Assumptions!$F$15)/1000</f>
        <v>8101350</v>
      </c>
      <c r="L93" s="176">
        <f>(L94*AVERAGE(Assumptions!$F$17,Assumptions!$F$18)*Assumptions!$F$15)/1000</f>
        <v>8101350</v>
      </c>
      <c r="M93" s="176">
        <f>(M94*AVERAGE(Assumptions!$F$17,Assumptions!$F$18)*Assumptions!$F$15)/1000</f>
        <v>9450810</v>
      </c>
      <c r="N93" s="176">
        <f>(N94*AVERAGE(Assumptions!$F$17,Assumptions!$F$18)*Assumptions!$F$15)/1000</f>
        <v>8101350</v>
      </c>
      <c r="O93" s="176">
        <f>(O94*AVERAGE(Assumptions!$F$17,Assumptions!$F$18)*Assumptions!$F$15)/1000</f>
        <v>8101350</v>
      </c>
      <c r="P93" s="176">
        <f>(P94*AVERAGE(Assumptions!$F$17,Assumptions!$F$18)*Assumptions!$F$15)/1000</f>
        <v>8101350</v>
      </c>
      <c r="Q93" s="177">
        <f>(Q94*AVERAGE(Assumptions!$F$17,Assumptions!$F$18)*Assumptions!$F$15)/1000</f>
        <v>8101350</v>
      </c>
    </row>
    <row r="94" spans="2:17" x14ac:dyDescent="0.2">
      <c r="B94" s="10" t="s">
        <v>57</v>
      </c>
      <c r="C94" s="10"/>
      <c r="D94" s="10"/>
      <c r="E94" s="178">
        <f>ROUNDUP(E96/Assumptions!$F$16,0)*2</f>
        <v>0</v>
      </c>
      <c r="F94" s="179">
        <f>ROUNDUP(F96/Assumptions!$F$16,0)*2</f>
        <v>0</v>
      </c>
      <c r="G94" s="179">
        <f>ROUNDUP(G96/Assumptions!$F$16,0)*2</f>
        <v>0</v>
      </c>
      <c r="H94" s="179">
        <f>ROUNDUP(H96/Assumptions!$F$16,0)*2</f>
        <v>0</v>
      </c>
      <c r="I94" s="179">
        <f>ROUNDUP(I96/Assumptions!$F$16,0)*2</f>
        <v>0</v>
      </c>
      <c r="J94" s="179">
        <f>ROUNDUP(J96/Assumptions!$F$16,0)*2</f>
        <v>4706</v>
      </c>
      <c r="K94" s="179">
        <f>ROUNDUP(K96/Assumptions!$F$16,0)*2</f>
        <v>7060</v>
      </c>
      <c r="L94" s="179">
        <f>ROUNDUP(L96/Assumptions!$F$16,0)*2</f>
        <v>7060</v>
      </c>
      <c r="M94" s="179">
        <f>ROUNDUP(M96/Assumptions!$F$16,0)*2</f>
        <v>8236</v>
      </c>
      <c r="N94" s="179">
        <f>ROUNDUP(N96/Assumptions!$F$16,0)*2</f>
        <v>7060</v>
      </c>
      <c r="O94" s="179">
        <f>ROUNDUP(O96/Assumptions!$F$16,0)*2</f>
        <v>7060</v>
      </c>
      <c r="P94" s="179">
        <f>ROUNDUP(P96/Assumptions!$F$16,0)*2</f>
        <v>7060</v>
      </c>
      <c r="Q94" s="180">
        <f>ROUNDUP(Q96/Assumptions!$F$16,0)*2</f>
        <v>7060</v>
      </c>
    </row>
    <row r="95" spans="2:17" x14ac:dyDescent="0.2">
      <c r="B95" s="10" t="s">
        <v>58</v>
      </c>
      <c r="C95" s="10"/>
      <c r="D95" s="10"/>
      <c r="E95" s="178">
        <f>(E96*Assumptions!$F$15)/1000</f>
        <v>0</v>
      </c>
      <c r="F95" s="179">
        <f>(F96*Assumptions!$F$15)/1000</f>
        <v>0</v>
      </c>
      <c r="G95" s="179">
        <f>(G96*Assumptions!$F$15)/1000</f>
        <v>0</v>
      </c>
      <c r="H95" s="179">
        <f>(H96*Assumptions!$F$15)/1000</f>
        <v>0</v>
      </c>
      <c r="I95" s="179">
        <f>(I96*Assumptions!$F$15)/1000</f>
        <v>0</v>
      </c>
      <c r="J95" s="179">
        <f>(J96*Assumptions!$F$15)/1000</f>
        <v>3400000</v>
      </c>
      <c r="K95" s="179">
        <f>(K96*Assumptions!$F$15)/1000</f>
        <v>5100000</v>
      </c>
      <c r="L95" s="179">
        <f>(L96*Assumptions!$F$15)/1000</f>
        <v>5100000</v>
      </c>
      <c r="M95" s="179">
        <f>(M96*Assumptions!$F$15)/1000</f>
        <v>5950000</v>
      </c>
      <c r="N95" s="179">
        <f>(N96*Assumptions!$F$15)/1000</f>
        <v>5100000</v>
      </c>
      <c r="O95" s="179">
        <f>(O96*Assumptions!$F$15)/1000</f>
        <v>5100000</v>
      </c>
      <c r="P95" s="179">
        <f>(P96*Assumptions!$F$15)/1000</f>
        <v>5100000</v>
      </c>
      <c r="Q95" s="180">
        <f>(Q96*Assumptions!$F$15)/1000</f>
        <v>5100000</v>
      </c>
    </row>
    <row r="96" spans="2:17" x14ac:dyDescent="0.2">
      <c r="B96" s="10" t="s">
        <v>59</v>
      </c>
      <c r="C96" s="10"/>
      <c r="D96" s="10"/>
      <c r="E96" s="125">
        <f>Assumptions!E38</f>
        <v>0</v>
      </c>
      <c r="F96" s="125">
        <f>Assumptions!F38</f>
        <v>0</v>
      </c>
      <c r="G96" s="125">
        <f>Assumptions!G38</f>
        <v>0</v>
      </c>
      <c r="H96" s="125">
        <f>Assumptions!H38</f>
        <v>0</v>
      </c>
      <c r="I96" s="125">
        <f>Assumptions!I38</f>
        <v>0</v>
      </c>
      <c r="J96" s="125">
        <f>Assumptions!J38</f>
        <v>20000000</v>
      </c>
      <c r="K96" s="125">
        <f>Assumptions!K38</f>
        <v>30000000</v>
      </c>
      <c r="L96" s="125">
        <f>Assumptions!L38</f>
        <v>30000000</v>
      </c>
      <c r="M96" s="200">
        <v>35000000</v>
      </c>
      <c r="N96" s="125">
        <f>Assumptions!N38</f>
        <v>30000000</v>
      </c>
      <c r="O96" s="125">
        <f>Assumptions!O38</f>
        <v>30000000</v>
      </c>
      <c r="P96" s="125">
        <f>Assumptions!P38</f>
        <v>30000000</v>
      </c>
      <c r="Q96" s="125">
        <f>Assumptions!Q38</f>
        <v>30000000</v>
      </c>
    </row>
    <row r="98" spans="2:19" x14ac:dyDescent="0.2">
      <c r="B98" s="10" t="s">
        <v>60</v>
      </c>
      <c r="C98" s="10"/>
      <c r="D98" s="10"/>
      <c r="E98" s="181">
        <f>SUM(E83,E88,E93)</f>
        <v>34546500</v>
      </c>
      <c r="F98" s="182">
        <f t="shared" ref="F98:Q98" si="18">SUM(F83,F88,F93)</f>
        <v>33353775</v>
      </c>
      <c r="G98" s="182">
        <f t="shared" si="18"/>
        <v>35737200</v>
      </c>
      <c r="H98" s="182">
        <f t="shared" si="18"/>
        <v>35737200</v>
      </c>
      <c r="I98" s="182">
        <f t="shared" si="18"/>
        <v>35737200</v>
      </c>
      <c r="J98" s="182">
        <f t="shared" si="18"/>
        <v>41137335</v>
      </c>
      <c r="K98" s="182">
        <f t="shared" si="18"/>
        <v>43838550</v>
      </c>
      <c r="L98" s="182">
        <f t="shared" si="18"/>
        <v>43838550</v>
      </c>
      <c r="M98" s="182">
        <f t="shared" si="18"/>
        <v>46378710</v>
      </c>
      <c r="N98" s="182">
        <f t="shared" si="18"/>
        <v>43838550</v>
      </c>
      <c r="O98" s="182">
        <f t="shared" si="18"/>
        <v>43838550</v>
      </c>
      <c r="P98" s="182">
        <f t="shared" si="18"/>
        <v>43838550</v>
      </c>
      <c r="Q98" s="183">
        <f t="shared" si="18"/>
        <v>43838550</v>
      </c>
    </row>
    <row r="99" spans="2:19" x14ac:dyDescent="0.2">
      <c r="B99" s="10" t="s">
        <v>61</v>
      </c>
      <c r="C99" s="10"/>
      <c r="D99" s="10"/>
      <c r="E99" s="184">
        <f t="shared" ref="E99:Q101" si="19">SUM(E84,E89,E94)</f>
        <v>20002</v>
      </c>
      <c r="F99" s="185">
        <f t="shared" si="19"/>
        <v>18824</v>
      </c>
      <c r="G99" s="185">
        <f t="shared" si="19"/>
        <v>21178</v>
      </c>
      <c r="H99" s="185">
        <f t="shared" si="19"/>
        <v>21178</v>
      </c>
      <c r="I99" s="185">
        <f t="shared" si="19"/>
        <v>21178</v>
      </c>
      <c r="J99" s="185">
        <f t="shared" si="19"/>
        <v>25884</v>
      </c>
      <c r="K99" s="185">
        <f t="shared" si="19"/>
        <v>28238</v>
      </c>
      <c r="L99" s="185">
        <f t="shared" si="19"/>
        <v>28238</v>
      </c>
      <c r="M99" s="185">
        <f t="shared" si="19"/>
        <v>30590</v>
      </c>
      <c r="N99" s="185">
        <f t="shared" si="19"/>
        <v>28238</v>
      </c>
      <c r="O99" s="185">
        <f t="shared" si="19"/>
        <v>28238</v>
      </c>
      <c r="P99" s="185">
        <f t="shared" si="19"/>
        <v>28238</v>
      </c>
      <c r="Q99" s="186">
        <f t="shared" si="19"/>
        <v>28238</v>
      </c>
    </row>
    <row r="100" spans="2:19" x14ac:dyDescent="0.2">
      <c r="B100" s="10" t="s">
        <v>62</v>
      </c>
      <c r="C100" s="10"/>
      <c r="D100" s="10"/>
      <c r="E100" s="184">
        <f t="shared" si="19"/>
        <v>21750000</v>
      </c>
      <c r="F100" s="185">
        <f t="shared" si="19"/>
        <v>21000000</v>
      </c>
      <c r="G100" s="185">
        <f t="shared" si="19"/>
        <v>22500000</v>
      </c>
      <c r="H100" s="185">
        <f t="shared" si="19"/>
        <v>22500000</v>
      </c>
      <c r="I100" s="185">
        <f t="shared" si="19"/>
        <v>22500000</v>
      </c>
      <c r="J100" s="185">
        <f t="shared" si="19"/>
        <v>25900000</v>
      </c>
      <c r="K100" s="185">
        <f t="shared" si="19"/>
        <v>27600000</v>
      </c>
      <c r="L100" s="185">
        <f t="shared" si="19"/>
        <v>27600000</v>
      </c>
      <c r="M100" s="185">
        <f t="shared" si="19"/>
        <v>29200000</v>
      </c>
      <c r="N100" s="185">
        <f t="shared" si="19"/>
        <v>27600000</v>
      </c>
      <c r="O100" s="185">
        <f t="shared" si="19"/>
        <v>27600000</v>
      </c>
      <c r="P100" s="185">
        <f t="shared" si="19"/>
        <v>27600000</v>
      </c>
      <c r="Q100" s="186">
        <f t="shared" si="19"/>
        <v>27600000</v>
      </c>
    </row>
    <row r="101" spans="2:19" x14ac:dyDescent="0.2">
      <c r="B101" s="10" t="s">
        <v>63</v>
      </c>
      <c r="C101" s="10"/>
      <c r="D101" s="10"/>
      <c r="E101" s="187">
        <f t="shared" si="19"/>
        <v>85000000</v>
      </c>
      <c r="F101" s="188">
        <f t="shared" si="19"/>
        <v>80000000</v>
      </c>
      <c r="G101" s="188">
        <f t="shared" si="19"/>
        <v>90000000</v>
      </c>
      <c r="H101" s="188">
        <f t="shared" si="19"/>
        <v>90000000</v>
      </c>
      <c r="I101" s="188">
        <f t="shared" si="19"/>
        <v>90000000</v>
      </c>
      <c r="J101" s="188">
        <f t="shared" si="19"/>
        <v>110000000</v>
      </c>
      <c r="K101" s="188">
        <f t="shared" si="19"/>
        <v>120000000</v>
      </c>
      <c r="L101" s="188">
        <f t="shared" si="19"/>
        <v>120000000</v>
      </c>
      <c r="M101" s="188">
        <f t="shared" si="19"/>
        <v>130000000</v>
      </c>
      <c r="N101" s="188">
        <f t="shared" si="19"/>
        <v>120000000</v>
      </c>
      <c r="O101" s="188">
        <f t="shared" si="19"/>
        <v>120000000</v>
      </c>
      <c r="P101" s="188">
        <f t="shared" si="19"/>
        <v>120000000</v>
      </c>
      <c r="Q101" s="189">
        <f t="shared" si="19"/>
        <v>120000000</v>
      </c>
    </row>
    <row r="103" spans="2:19" x14ac:dyDescent="0.2">
      <c r="B103" s="11" t="s">
        <v>80</v>
      </c>
      <c r="C103" s="11"/>
      <c r="D103" s="11"/>
      <c r="E103" s="3" t="s">
        <v>12</v>
      </c>
      <c r="F103" s="3" t="s">
        <v>13</v>
      </c>
      <c r="G103" s="3" t="s">
        <v>14</v>
      </c>
      <c r="H103" s="3" t="s">
        <v>15</v>
      </c>
      <c r="I103" s="3" t="s">
        <v>16</v>
      </c>
      <c r="J103" s="3" t="s">
        <v>17</v>
      </c>
      <c r="K103" s="3" t="s">
        <v>18</v>
      </c>
      <c r="L103" s="3" t="s">
        <v>19</v>
      </c>
      <c r="M103" s="77" t="s">
        <v>20</v>
      </c>
      <c r="N103" s="3" t="s">
        <v>21</v>
      </c>
      <c r="O103" s="3" t="s">
        <v>22</v>
      </c>
      <c r="P103" s="3" t="s">
        <v>23</v>
      </c>
      <c r="Q103" s="3" t="s">
        <v>24</v>
      </c>
    </row>
    <row r="104" spans="2:19" x14ac:dyDescent="0.2">
      <c r="B104" s="18" t="s">
        <v>32</v>
      </c>
      <c r="C104" s="18"/>
      <c r="D104" s="18"/>
      <c r="E104" s="175">
        <f t="shared" ref="E104:Q104" si="20">(E98*E68)/1000</f>
        <v>17273.25</v>
      </c>
      <c r="F104" s="176">
        <f>(F98*F68)/1000</f>
        <v>17260.578562499999</v>
      </c>
      <c r="G104" s="176">
        <f t="shared" si="20"/>
        <v>19141.291034999995</v>
      </c>
      <c r="H104" s="176">
        <f t="shared" si="20"/>
        <v>19811.236221224997</v>
      </c>
      <c r="I104" s="176">
        <f t="shared" si="20"/>
        <v>20504.629488967868</v>
      </c>
      <c r="J104" s="176">
        <f t="shared" si="20"/>
        <v>24429.124715153932</v>
      </c>
      <c r="K104" s="176">
        <f t="shared" si="20"/>
        <v>26944.385543360168</v>
      </c>
      <c r="L104" s="176">
        <f t="shared" si="20"/>
        <v>27887.439037377771</v>
      </c>
      <c r="M104" s="176">
        <f t="shared" si="20"/>
        <v>30535.952225352474</v>
      </c>
      <c r="N104" s="176">
        <f t="shared" si="20"/>
        <v>29873.721882815</v>
      </c>
      <c r="O104" s="176">
        <f t="shared" si="20"/>
        <v>30919.302148713523</v>
      </c>
      <c r="P104" s="176">
        <f t="shared" si="20"/>
        <v>32001.477723918491</v>
      </c>
      <c r="Q104" s="177">
        <f t="shared" si="20"/>
        <v>33121.529444255641</v>
      </c>
    </row>
    <row r="105" spans="2:19" x14ac:dyDescent="0.2">
      <c r="B105" s="18" t="s">
        <v>33</v>
      </c>
      <c r="C105" s="18"/>
      <c r="D105" s="18"/>
      <c r="E105" s="178">
        <f t="shared" ref="E105:Q105" si="21">(E99*E69)/1000</f>
        <v>50005</v>
      </c>
      <c r="F105" s="179">
        <f t="shared" si="21"/>
        <v>48236.5</v>
      </c>
      <c r="G105" s="179">
        <f t="shared" si="21"/>
        <v>55625.34062499999</v>
      </c>
      <c r="H105" s="179">
        <f t="shared" si="21"/>
        <v>57015.974140624974</v>
      </c>
      <c r="I105" s="179">
        <f t="shared" si="21"/>
        <v>58441.373494140593</v>
      </c>
      <c r="J105" s="179">
        <f t="shared" si="21"/>
        <v>73213.425456152312</v>
      </c>
      <c r="K105" s="179">
        <f t="shared" si="21"/>
        <v>81868.556858738972</v>
      </c>
      <c r="L105" s="179">
        <f t="shared" si="21"/>
        <v>83915.270780207429</v>
      </c>
      <c r="M105" s="179">
        <f t="shared" si="21"/>
        <v>93177.361587070933</v>
      </c>
      <c r="N105" s="179">
        <f t="shared" si="21"/>
        <v>88163.481363455416</v>
      </c>
      <c r="O105" s="179">
        <f t="shared" si="21"/>
        <v>90367.568397541792</v>
      </c>
      <c r="P105" s="179">
        <f t="shared" si="21"/>
        <v>92626.757607480336</v>
      </c>
      <c r="Q105" s="180">
        <f t="shared" si="21"/>
        <v>94942.426547667332</v>
      </c>
    </row>
    <row r="106" spans="2:19" x14ac:dyDescent="0.2">
      <c r="B106" s="18" t="s">
        <v>34</v>
      </c>
      <c r="C106" s="18"/>
      <c r="D106" s="18"/>
      <c r="E106" s="178">
        <f t="shared" ref="E106:Q106" si="22">(E100*E70)/1000</f>
        <v>58597.875000000007</v>
      </c>
      <c r="F106" s="179">
        <f t="shared" si="22"/>
        <v>67374.788189655184</v>
      </c>
      <c r="G106" s="179">
        <f t="shared" si="22"/>
        <v>68324.684170000008</v>
      </c>
      <c r="H106" s="179">
        <f t="shared" si="22"/>
        <v>74255.21254245493</v>
      </c>
      <c r="I106" s="179">
        <f t="shared" si="22"/>
        <v>67184.998508445773</v>
      </c>
      <c r="J106" s="179">
        <f t="shared" si="22"/>
        <v>71496.22491434688</v>
      </c>
      <c r="K106" s="179">
        <f t="shared" si="22"/>
        <v>76960.528798950429</v>
      </c>
      <c r="L106" s="179">
        <f t="shared" si="22"/>
        <v>77524.645091207407</v>
      </c>
      <c r="M106" s="179">
        <f t="shared" si="22"/>
        <v>78972.430488419588</v>
      </c>
      <c r="N106" s="179">
        <f t="shared" si="22"/>
        <v>75087.898376864789</v>
      </c>
      <c r="O106" s="179">
        <f t="shared" si="22"/>
        <v>65156.280264200206</v>
      </c>
      <c r="P106" s="179">
        <f t="shared" si="22"/>
        <v>76566.882334300579</v>
      </c>
      <c r="Q106" s="180">
        <f t="shared" si="22"/>
        <v>73885.522004038517</v>
      </c>
    </row>
    <row r="107" spans="2:19" x14ac:dyDescent="0.2">
      <c r="B107" s="18" t="s">
        <v>35</v>
      </c>
      <c r="C107" s="18"/>
      <c r="D107" s="18"/>
      <c r="E107" s="178">
        <f t="shared" ref="E107:Q107" si="23">(E101*E71)/1000</f>
        <v>58597.875</v>
      </c>
      <c r="F107" s="179">
        <f t="shared" si="23"/>
        <v>65676.264117647079</v>
      </c>
      <c r="G107" s="179">
        <f t="shared" si="23"/>
        <v>68324.684170000008</v>
      </c>
      <c r="H107" s="179">
        <f t="shared" si="23"/>
        <v>74255.21254245493</v>
      </c>
      <c r="I107" s="179">
        <f t="shared" si="23"/>
        <v>67184.998508445773</v>
      </c>
      <c r="J107" s="179">
        <f t="shared" si="23"/>
        <v>71496.22491434688</v>
      </c>
      <c r="K107" s="179">
        <f t="shared" si="23"/>
        <v>76960.528798950429</v>
      </c>
      <c r="L107" s="179">
        <f t="shared" si="23"/>
        <v>77524.645091207407</v>
      </c>
      <c r="M107" s="179">
        <f t="shared" si="23"/>
        <v>80865.605191909111</v>
      </c>
      <c r="N107" s="179">
        <f t="shared" si="23"/>
        <v>75087.898376864789</v>
      </c>
      <c r="O107" s="179">
        <f t="shared" si="23"/>
        <v>65156.280264200213</v>
      </c>
      <c r="P107" s="179">
        <f t="shared" si="23"/>
        <v>76566.882334300579</v>
      </c>
      <c r="Q107" s="180">
        <f t="shared" si="23"/>
        <v>73885.522004038517</v>
      </c>
    </row>
    <row r="108" spans="2:19" x14ac:dyDescent="0.2">
      <c r="B108" s="11" t="s">
        <v>82</v>
      </c>
      <c r="C108" s="11"/>
      <c r="D108" s="11"/>
      <c r="E108" s="31">
        <f>SUM(E104:E107)</f>
        <v>184474</v>
      </c>
      <c r="F108" s="32">
        <f t="shared" ref="F108:Q108" si="24">SUM(F104:F107)</f>
        <v>198548.13086980226</v>
      </c>
      <c r="G108" s="32">
        <f t="shared" si="24"/>
        <v>211416</v>
      </c>
      <c r="H108" s="32">
        <f t="shared" si="24"/>
        <v>225337.63544675981</v>
      </c>
      <c r="I108" s="32">
        <f t="shared" si="24"/>
        <v>213316</v>
      </c>
      <c r="J108" s="32">
        <f t="shared" si="24"/>
        <v>240635</v>
      </c>
      <c r="K108" s="32">
        <f t="shared" si="24"/>
        <v>262734</v>
      </c>
      <c r="L108" s="32">
        <f t="shared" si="24"/>
        <v>266852</v>
      </c>
      <c r="M108" s="91">
        <f t="shared" si="24"/>
        <v>283551.34949275211</v>
      </c>
      <c r="N108" s="32">
        <f t="shared" si="24"/>
        <v>268213</v>
      </c>
      <c r="O108" s="32">
        <f t="shared" si="24"/>
        <v>251599.43107465573</v>
      </c>
      <c r="P108" s="32">
        <f t="shared" si="24"/>
        <v>277762</v>
      </c>
      <c r="Q108" s="33">
        <f t="shared" si="24"/>
        <v>275835</v>
      </c>
    </row>
    <row r="109" spans="2:19" x14ac:dyDescent="0.2">
      <c r="F109" s="14"/>
    </row>
    <row r="110" spans="2:19" x14ac:dyDescent="0.2">
      <c r="B110" s="11" t="s">
        <v>131</v>
      </c>
      <c r="C110" s="11"/>
      <c r="D110" s="11"/>
      <c r="E110" s="225">
        <f>SUM(E105:E107)</f>
        <v>167200.75</v>
      </c>
      <c r="F110" s="226">
        <f t="shared" ref="F110:Q110" si="25">SUM(F105:F107)</f>
        <v>181287.55230730225</v>
      </c>
      <c r="G110" s="226">
        <f t="shared" si="25"/>
        <v>192274.708965</v>
      </c>
      <c r="H110" s="226">
        <f t="shared" si="25"/>
        <v>205526.39922553481</v>
      </c>
      <c r="I110" s="226">
        <f t="shared" si="25"/>
        <v>192811.37051103215</v>
      </c>
      <c r="J110" s="226">
        <f t="shared" si="25"/>
        <v>216205.87528484606</v>
      </c>
      <c r="K110" s="226">
        <f t="shared" si="25"/>
        <v>235789.61445663983</v>
      </c>
      <c r="L110" s="226">
        <f t="shared" si="25"/>
        <v>238964.56096262223</v>
      </c>
      <c r="M110" s="226">
        <f t="shared" si="25"/>
        <v>253015.39726739965</v>
      </c>
      <c r="N110" s="226">
        <f t="shared" si="25"/>
        <v>238339.27811718499</v>
      </c>
      <c r="O110" s="226">
        <f t="shared" si="25"/>
        <v>220680.1289259422</v>
      </c>
      <c r="P110" s="226">
        <f t="shared" si="25"/>
        <v>245760.52227608149</v>
      </c>
      <c r="Q110" s="227">
        <f t="shared" si="25"/>
        <v>242713.47055574437</v>
      </c>
    </row>
    <row r="111" spans="2:19" x14ac:dyDescent="0.2">
      <c r="B111" s="204" t="s">
        <v>134</v>
      </c>
      <c r="C111" s="204"/>
      <c r="D111" s="204"/>
      <c r="E111" s="220">
        <f>SUM(E105:E107)-(SUM(E75:E77))</f>
        <v>0</v>
      </c>
      <c r="F111" s="221">
        <f t="shared" ref="F111:Q111" si="26">SUM(F105:F107)-(SUM(F75:F77))</f>
        <v>-9529.6339426977793</v>
      </c>
      <c r="G111" s="221">
        <f t="shared" si="26"/>
        <v>0</v>
      </c>
      <c r="H111" s="221">
        <f t="shared" si="26"/>
        <v>0</v>
      </c>
      <c r="I111" s="221">
        <f t="shared" si="26"/>
        <v>0</v>
      </c>
      <c r="J111" s="221">
        <f t="shared" si="26"/>
        <v>0</v>
      </c>
      <c r="K111" s="221">
        <f t="shared" si="26"/>
        <v>0</v>
      </c>
      <c r="L111" s="221">
        <f t="shared" si="26"/>
        <v>0</v>
      </c>
      <c r="M111" s="221">
        <f t="shared" si="26"/>
        <v>17711.896671085618</v>
      </c>
      <c r="N111" s="221">
        <f t="shared" si="26"/>
        <v>0</v>
      </c>
      <c r="O111" s="221">
        <f t="shared" si="26"/>
        <v>0</v>
      </c>
      <c r="P111" s="221">
        <f t="shared" si="26"/>
        <v>0</v>
      </c>
      <c r="Q111" s="222">
        <f t="shared" si="26"/>
        <v>0</v>
      </c>
      <c r="S111" s="167"/>
    </row>
    <row r="112" spans="2:19" x14ac:dyDescent="0.2">
      <c r="B112" s="204" t="s">
        <v>135</v>
      </c>
      <c r="C112" s="204"/>
      <c r="D112" s="204"/>
      <c r="E112" s="228"/>
      <c r="F112" s="229"/>
      <c r="G112" s="223">
        <f>-E111*(1+Assumptions!$D$3)^2</f>
        <v>0</v>
      </c>
      <c r="H112" s="223">
        <f>-F111*(1+Assumptions!$D$3)^2</f>
        <v>11151.635446759832</v>
      </c>
      <c r="I112" s="223">
        <f>-G111*(1+Assumptions!$D$3)^2</f>
        <v>0</v>
      </c>
      <c r="J112" s="223">
        <f>-H111*(1+Assumptions!$D$3)^2</f>
        <v>0</v>
      </c>
      <c r="K112" s="223">
        <f>-I111*(1+Assumptions!$D$3)^2</f>
        <v>0</v>
      </c>
      <c r="L112" s="223">
        <f>-J111*(1+Assumptions!$D$3)^2</f>
        <v>0</v>
      </c>
      <c r="M112" s="223">
        <f>-K111*(1+Assumptions!$D$3)^2</f>
        <v>0</v>
      </c>
      <c r="N112" s="223">
        <f>-L111*(1+Assumptions!$D$3)^2</f>
        <v>0</v>
      </c>
      <c r="O112" s="223">
        <f>-M111*(1+Assumptions!$D$3)^2</f>
        <v>-20726.56892534428</v>
      </c>
      <c r="P112" s="223">
        <f>-N111*(1+Assumptions!$D$3)^2</f>
        <v>0</v>
      </c>
      <c r="Q112" s="224">
        <f>-O111*(1+Assumptions!$D$3)^2</f>
        <v>0</v>
      </c>
      <c r="S112" s="167"/>
    </row>
    <row r="113" spans="2:19" x14ac:dyDescent="0.2">
      <c r="F113" s="14"/>
    </row>
    <row r="114" spans="2:19" x14ac:dyDescent="0.2">
      <c r="B114" s="11" t="s">
        <v>94</v>
      </c>
      <c r="C114" s="11"/>
      <c r="D114" s="11"/>
      <c r="E114" s="3" t="s">
        <v>12</v>
      </c>
      <c r="F114" s="3" t="s">
        <v>13</v>
      </c>
      <c r="G114" s="3" t="s">
        <v>14</v>
      </c>
      <c r="H114" s="3" t="s">
        <v>15</v>
      </c>
      <c r="I114" s="3" t="s">
        <v>16</v>
      </c>
      <c r="J114" s="3" t="s">
        <v>17</v>
      </c>
      <c r="K114" s="3" t="s">
        <v>18</v>
      </c>
      <c r="L114" s="3" t="s">
        <v>19</v>
      </c>
      <c r="M114" s="77" t="s">
        <v>20</v>
      </c>
      <c r="N114" s="3" t="s">
        <v>21</v>
      </c>
      <c r="O114" s="3" t="s">
        <v>22</v>
      </c>
      <c r="P114" s="3" t="s">
        <v>23</v>
      </c>
      <c r="Q114" s="3" t="s">
        <v>24</v>
      </c>
    </row>
    <row r="115" spans="2:19" x14ac:dyDescent="0.2">
      <c r="B115" s="10" t="s">
        <v>66</v>
      </c>
      <c r="C115" s="10"/>
      <c r="D115" s="10"/>
      <c r="E115" s="173">
        <f>Baseline!E9</f>
        <v>124478.790266935</v>
      </c>
      <c r="F115" s="174">
        <f>Baseline!F9</f>
        <v>125929.29539296908</v>
      </c>
      <c r="G115" s="174">
        <f>Baseline!G9</f>
        <v>127415.35588325732</v>
      </c>
      <c r="H115" s="174">
        <f>Baseline!H9</f>
        <v>128940.21821740354</v>
      </c>
      <c r="I115" s="174">
        <f>Baseline!I9</f>
        <v>130075.5496746139</v>
      </c>
      <c r="J115" s="174">
        <f>Baseline!J9</f>
        <v>131563.88144351507</v>
      </c>
      <c r="K115" s="174">
        <f>Baseline!K9</f>
        <v>133089.01927238036</v>
      </c>
      <c r="L115" s="174">
        <f>Baseline!L9</f>
        <v>134655.15653049384</v>
      </c>
      <c r="M115" s="174">
        <f>Baseline!M9</f>
        <v>135341.01980721654</v>
      </c>
      <c r="N115" s="174">
        <f>Baseline!N9</f>
        <v>136860.60634046869</v>
      </c>
      <c r="O115" s="174">
        <f>Baseline!O9</f>
        <v>138420.17678424151</v>
      </c>
      <c r="P115" s="174">
        <f>Baseline!P9</f>
        <v>140025.07201368126</v>
      </c>
      <c r="Q115" s="190">
        <f>Baseline!Q9</f>
        <v>139462.15668618664</v>
      </c>
    </row>
    <row r="116" spans="2:19" x14ac:dyDescent="0.2">
      <c r="B116" s="10" t="s">
        <v>67</v>
      </c>
      <c r="C116" s="10"/>
      <c r="D116" s="10"/>
      <c r="E116" s="155">
        <f>Baseline!E10</f>
        <v>24558.065524682825</v>
      </c>
      <c r="F116" s="156">
        <f>Baseline!F10</f>
        <v>44112.167268795369</v>
      </c>
      <c r="G116" s="156">
        <f>Baseline!G10</f>
        <v>44139.916550854017</v>
      </c>
      <c r="H116" s="156">
        <f>Baseline!H10</f>
        <v>44141.483192472588</v>
      </c>
      <c r="I116" s="156">
        <f>Baseline!I10</f>
        <v>40852.105504689527</v>
      </c>
      <c r="J116" s="156">
        <f>Baseline!J10</f>
        <v>40900.926246350136</v>
      </c>
      <c r="K116" s="156">
        <f>Baseline!K10</f>
        <v>42875.856280882952</v>
      </c>
      <c r="L116" s="156">
        <f>Baseline!L10</f>
        <v>43497.126314392088</v>
      </c>
      <c r="M116" s="156">
        <f>Baseline!M10</f>
        <v>39995.71122675731</v>
      </c>
      <c r="N116" s="156">
        <f>Baseline!N10</f>
        <v>40440.506456885669</v>
      </c>
      <c r="O116" s="156">
        <f>Baseline!O10</f>
        <v>40842.025608859309</v>
      </c>
      <c r="P116" s="156">
        <f>Baseline!P10</f>
        <v>41200.528116427959</v>
      </c>
      <c r="Q116" s="157">
        <f>Baseline!Q10</f>
        <v>39548.677637751425</v>
      </c>
    </row>
    <row r="117" spans="2:19" x14ac:dyDescent="0.2">
      <c r="B117" s="10" t="s">
        <v>68</v>
      </c>
      <c r="C117" s="10"/>
      <c r="D117" s="10"/>
      <c r="E117" s="155">
        <f>Baseline!E11</f>
        <v>0</v>
      </c>
      <c r="F117" s="156">
        <f>Baseline!F11</f>
        <v>0</v>
      </c>
      <c r="G117" s="156">
        <f>Baseline!G11</f>
        <v>0</v>
      </c>
      <c r="H117" s="156">
        <f>Baseline!H11</f>
        <v>0</v>
      </c>
      <c r="I117" s="156">
        <f>Baseline!I11</f>
        <v>0</v>
      </c>
      <c r="J117" s="156">
        <f>Baseline!J11</f>
        <v>13643.369735934903</v>
      </c>
      <c r="K117" s="156">
        <f>Baseline!K11</f>
        <v>24964.251142229208</v>
      </c>
      <c r="L117" s="156">
        <f>Baseline!L11</f>
        <v>24965.137189097255</v>
      </c>
      <c r="M117" s="156">
        <f>Baseline!M11</f>
        <v>23104.760978262013</v>
      </c>
      <c r="N117" s="156">
        <f>Baseline!N11</f>
        <v>23132.372567748389</v>
      </c>
      <c r="O117" s="156">
        <f>Baseline!O11</f>
        <v>23163.805604731708</v>
      </c>
      <c r="P117" s="156">
        <f>Baseline!P11</f>
        <v>24447.432890815518</v>
      </c>
      <c r="Q117" s="157">
        <f>Baseline!Q11</f>
        <v>22477.352823693469</v>
      </c>
      <c r="S117" s="167"/>
    </row>
    <row r="118" spans="2:19" x14ac:dyDescent="0.2">
      <c r="B118" s="11" t="s">
        <v>45</v>
      </c>
      <c r="C118" s="11"/>
      <c r="D118" s="11"/>
      <c r="E118" s="31">
        <f>SUM(E115:E117)</f>
        <v>149036.85579161783</v>
      </c>
      <c r="F118" s="32">
        <f t="shared" ref="F118:Q118" si="27">SUM(F115:F117)</f>
        <v>170041.46266176447</v>
      </c>
      <c r="G118" s="32">
        <f t="shared" si="27"/>
        <v>171555.27243411134</v>
      </c>
      <c r="H118" s="32">
        <f t="shared" si="27"/>
        <v>173081.70140987611</v>
      </c>
      <c r="I118" s="32">
        <f t="shared" si="27"/>
        <v>170927.65517930343</v>
      </c>
      <c r="J118" s="32">
        <f t="shared" si="27"/>
        <v>186108.17742580012</v>
      </c>
      <c r="K118" s="32">
        <f t="shared" si="27"/>
        <v>200929.12669549254</v>
      </c>
      <c r="L118" s="32">
        <f t="shared" si="27"/>
        <v>203117.42003398319</v>
      </c>
      <c r="M118" s="91">
        <f t="shared" si="27"/>
        <v>198441.49201223586</v>
      </c>
      <c r="N118" s="32">
        <f t="shared" si="27"/>
        <v>200433.48536510274</v>
      </c>
      <c r="O118" s="32">
        <f t="shared" si="27"/>
        <v>202426.00799783255</v>
      </c>
      <c r="P118" s="32">
        <f t="shared" si="27"/>
        <v>205673.03302092475</v>
      </c>
      <c r="Q118" s="33">
        <f t="shared" si="27"/>
        <v>201488.18714763154</v>
      </c>
    </row>
    <row r="120" spans="2:19" x14ac:dyDescent="0.2">
      <c r="B120" s="76" t="s">
        <v>95</v>
      </c>
      <c r="C120" s="76"/>
      <c r="D120" s="76"/>
      <c r="E120" s="77" t="s">
        <v>12</v>
      </c>
      <c r="F120" s="77" t="s">
        <v>13</v>
      </c>
      <c r="G120" s="77" t="s">
        <v>14</v>
      </c>
      <c r="H120" s="77" t="s">
        <v>15</v>
      </c>
      <c r="I120" s="77" t="s">
        <v>16</v>
      </c>
      <c r="J120" s="77" t="s">
        <v>17</v>
      </c>
      <c r="K120" s="77" t="s">
        <v>18</v>
      </c>
      <c r="L120" s="77" t="s">
        <v>19</v>
      </c>
      <c r="M120" s="77" t="s">
        <v>20</v>
      </c>
      <c r="N120" s="77" t="s">
        <v>21</v>
      </c>
      <c r="O120" s="77" t="s">
        <v>22</v>
      </c>
      <c r="P120" s="77" t="s">
        <v>23</v>
      </c>
      <c r="Q120" s="77" t="s">
        <v>24</v>
      </c>
    </row>
    <row r="121" spans="2:19" x14ac:dyDescent="0.2">
      <c r="B121" s="78" t="s">
        <v>66</v>
      </c>
      <c r="C121" s="78"/>
      <c r="D121" s="78"/>
      <c r="E121" s="217">
        <f>E115/E$118</f>
        <v>0.83522152695558927</v>
      </c>
      <c r="F121" s="218">
        <f t="shared" ref="F121:Q121" si="28">F115/F$118</f>
        <v>0.74057993516239939</v>
      </c>
      <c r="G121" s="218">
        <f t="shared" si="28"/>
        <v>0.74270731569729698</v>
      </c>
      <c r="H121" s="218">
        <f t="shared" si="28"/>
        <v>0.74496736031071942</v>
      </c>
      <c r="I121" s="218">
        <f t="shared" si="28"/>
        <v>0.76099768371691756</v>
      </c>
      <c r="J121" s="218">
        <f t="shared" si="28"/>
        <v>0.70692155102087639</v>
      </c>
      <c r="K121" s="218">
        <f t="shared" si="28"/>
        <v>0.6623679775111766</v>
      </c>
      <c r="L121" s="218">
        <f t="shared" si="28"/>
        <v>0.66294243254943341</v>
      </c>
      <c r="M121" s="218">
        <f t="shared" si="28"/>
        <v>0.68201976529621855</v>
      </c>
      <c r="N121" s="218">
        <f t="shared" si="28"/>
        <v>0.68282306267921311</v>
      </c>
      <c r="O121" s="218">
        <f t="shared" si="28"/>
        <v>0.68380628632326546</v>
      </c>
      <c r="P121" s="218">
        <f t="shared" si="28"/>
        <v>0.68081395969609393</v>
      </c>
      <c r="Q121" s="219">
        <f t="shared" si="28"/>
        <v>0.69216046191334246</v>
      </c>
    </row>
    <row r="122" spans="2:19" x14ac:dyDescent="0.2">
      <c r="B122" s="78" t="s">
        <v>67</v>
      </c>
      <c r="C122" s="78"/>
      <c r="D122" s="78"/>
      <c r="E122" s="240">
        <f t="shared" ref="E122:Q123" si="29">E116/E$118</f>
        <v>0.16477847304441071</v>
      </c>
      <c r="F122" s="241">
        <f t="shared" si="29"/>
        <v>0.25942006483760055</v>
      </c>
      <c r="G122" s="241">
        <f t="shared" si="29"/>
        <v>0.25729268430270302</v>
      </c>
      <c r="H122" s="241">
        <f t="shared" si="29"/>
        <v>0.25503263968928064</v>
      </c>
      <c r="I122" s="241">
        <f t="shared" si="29"/>
        <v>0.23900231628308241</v>
      </c>
      <c r="J122" s="241">
        <f t="shared" si="29"/>
        <v>0.21976963512340567</v>
      </c>
      <c r="K122" s="241">
        <f t="shared" si="29"/>
        <v>0.21338795915766448</v>
      </c>
      <c r="L122" s="241">
        <f t="shared" si="29"/>
        <v>0.214147690075596</v>
      </c>
      <c r="M122" s="241">
        <f t="shared" si="29"/>
        <v>0.20154913582433245</v>
      </c>
      <c r="N122" s="241">
        <f t="shared" si="29"/>
        <v>0.20176522093212437</v>
      </c>
      <c r="O122" s="241">
        <f t="shared" si="29"/>
        <v>0.20176273796446462</v>
      </c>
      <c r="P122" s="241">
        <f t="shared" si="29"/>
        <v>0.20032051606997162</v>
      </c>
      <c r="Q122" s="242">
        <f t="shared" si="29"/>
        <v>0.19628286004069254</v>
      </c>
    </row>
    <row r="123" spans="2:19" x14ac:dyDescent="0.2">
      <c r="B123" s="78" t="s">
        <v>68</v>
      </c>
      <c r="C123" s="78"/>
      <c r="D123" s="78"/>
      <c r="E123" s="240">
        <f t="shared" si="29"/>
        <v>0</v>
      </c>
      <c r="F123" s="241">
        <f t="shared" si="29"/>
        <v>0</v>
      </c>
      <c r="G123" s="241">
        <f t="shared" si="29"/>
        <v>0</v>
      </c>
      <c r="H123" s="241">
        <f t="shared" si="29"/>
        <v>0</v>
      </c>
      <c r="I123" s="241">
        <f t="shared" si="29"/>
        <v>0</v>
      </c>
      <c r="J123" s="241">
        <f t="shared" si="29"/>
        <v>7.33088138557179E-2</v>
      </c>
      <c r="K123" s="241">
        <f t="shared" si="29"/>
        <v>0.12424406333115881</v>
      </c>
      <c r="L123" s="241">
        <f t="shared" si="29"/>
        <v>0.12290987737497053</v>
      </c>
      <c r="M123" s="241">
        <f t="shared" si="29"/>
        <v>0.11643109887944895</v>
      </c>
      <c r="N123" s="241">
        <f t="shared" si="29"/>
        <v>0.11541171638866259</v>
      </c>
      <c r="O123" s="241">
        <f t="shared" si="29"/>
        <v>0.11443097571226979</v>
      </c>
      <c r="P123" s="241">
        <f t="shared" si="29"/>
        <v>0.11886552423393439</v>
      </c>
      <c r="Q123" s="242">
        <f t="shared" si="29"/>
        <v>0.11155667804596497</v>
      </c>
      <c r="S123" s="167"/>
    </row>
    <row r="124" spans="2:19" x14ac:dyDescent="0.2">
      <c r="B124" s="76" t="s">
        <v>45</v>
      </c>
      <c r="C124" s="76"/>
      <c r="D124" s="76"/>
      <c r="E124" s="81">
        <f>SUM(E121:E123)</f>
        <v>1</v>
      </c>
      <c r="F124" s="82">
        <f t="shared" ref="F124:Q124" si="30">SUM(F121:F123)</f>
        <v>1</v>
      </c>
      <c r="G124" s="82">
        <f t="shared" si="30"/>
        <v>1</v>
      </c>
      <c r="H124" s="82">
        <f t="shared" si="30"/>
        <v>1</v>
      </c>
      <c r="I124" s="82">
        <f t="shared" si="30"/>
        <v>1</v>
      </c>
      <c r="J124" s="82">
        <f t="shared" si="30"/>
        <v>0.99999999999999989</v>
      </c>
      <c r="K124" s="82">
        <f t="shared" si="30"/>
        <v>0.99999999999999989</v>
      </c>
      <c r="L124" s="82">
        <f t="shared" si="30"/>
        <v>0.99999999999999989</v>
      </c>
      <c r="M124" s="82">
        <f t="shared" si="30"/>
        <v>0.99999999999999989</v>
      </c>
      <c r="N124" s="82">
        <f t="shared" si="30"/>
        <v>1</v>
      </c>
      <c r="O124" s="82">
        <f t="shared" si="30"/>
        <v>0.99999999999999989</v>
      </c>
      <c r="P124" s="82">
        <f t="shared" si="30"/>
        <v>0.99999999999999989</v>
      </c>
      <c r="Q124" s="83">
        <f t="shared" si="30"/>
        <v>1</v>
      </c>
    </row>
    <row r="125" spans="2:19" x14ac:dyDescent="0.2">
      <c r="B125" s="18"/>
      <c r="C125" s="18"/>
      <c r="D125" s="18"/>
      <c r="E125" s="4"/>
      <c r="F125" s="4"/>
      <c r="G125" s="4"/>
      <c r="H125" s="4"/>
      <c r="I125" s="4"/>
      <c r="J125" s="4"/>
      <c r="K125" s="4"/>
      <c r="L125" s="4"/>
      <c r="M125" s="92"/>
      <c r="N125" s="4"/>
      <c r="O125" s="4"/>
      <c r="P125" s="4"/>
      <c r="Q125" s="4"/>
    </row>
    <row r="126" spans="2:19" x14ac:dyDescent="0.2">
      <c r="B126" s="11" t="s">
        <v>97</v>
      </c>
      <c r="C126" s="11"/>
      <c r="D126" s="11"/>
      <c r="E126" s="3" t="s">
        <v>12</v>
      </c>
      <c r="F126" s="3" t="s">
        <v>13</v>
      </c>
      <c r="G126" s="3" t="s">
        <v>14</v>
      </c>
      <c r="H126" s="3" t="s">
        <v>15</v>
      </c>
      <c r="I126" s="3" t="s">
        <v>16</v>
      </c>
      <c r="J126" s="3" t="s">
        <v>17</v>
      </c>
      <c r="K126" s="3" t="s">
        <v>18</v>
      </c>
      <c r="L126" s="3" t="s">
        <v>19</v>
      </c>
      <c r="M126" s="77" t="s">
        <v>20</v>
      </c>
      <c r="N126" s="3" t="s">
        <v>21</v>
      </c>
      <c r="O126" s="3" t="s">
        <v>22</v>
      </c>
      <c r="P126" s="3" t="s">
        <v>23</v>
      </c>
      <c r="Q126" s="3" t="s">
        <v>24</v>
      </c>
    </row>
    <row r="127" spans="2:19" x14ac:dyDescent="0.2">
      <c r="B127" s="10" t="s">
        <v>66</v>
      </c>
      <c r="C127" s="10"/>
      <c r="D127" s="10"/>
      <c r="E127" s="175">
        <f>SUM(E$111*E121,E$112*C121)</f>
        <v>0</v>
      </c>
      <c r="F127" s="176">
        <f>SUM(F$111*F121,F$112*D121)</f>
        <v>-7057.455687404522</v>
      </c>
      <c r="G127" s="176">
        <f>SUM(G$111*G121,G$112*E121)</f>
        <v>0</v>
      </c>
      <c r="H127" s="176">
        <f t="shared" ref="H127:Q129" si="31">SUM(H$111*H121,H$112*F121)</f>
        <v>8258.677456116111</v>
      </c>
      <c r="I127" s="176">
        <f t="shared" si="31"/>
        <v>0</v>
      </c>
      <c r="J127" s="176">
        <f t="shared" si="31"/>
        <v>0</v>
      </c>
      <c r="K127" s="176">
        <f t="shared" si="31"/>
        <v>0</v>
      </c>
      <c r="L127" s="176">
        <f t="shared" si="31"/>
        <v>0</v>
      </c>
      <c r="M127" s="176">
        <f t="shared" si="31"/>
        <v>12079.863610564687</v>
      </c>
      <c r="N127" s="176">
        <f t="shared" si="31"/>
        <v>0</v>
      </c>
      <c r="O127" s="176">
        <f t="shared" si="31"/>
        <v>-14135.929673859202</v>
      </c>
      <c r="P127" s="176">
        <f t="shared" si="31"/>
        <v>0</v>
      </c>
      <c r="Q127" s="177">
        <f t="shared" si="31"/>
        <v>0</v>
      </c>
      <c r="S127" s="167"/>
    </row>
    <row r="128" spans="2:19" x14ac:dyDescent="0.2">
      <c r="B128" s="10" t="s">
        <v>67</v>
      </c>
      <c r="C128" s="10"/>
      <c r="D128" s="10"/>
      <c r="E128" s="178">
        <f t="shared" ref="E128:G129" si="32">SUM(E$111*E122,E$112*C122)</f>
        <v>0</v>
      </c>
      <c r="F128" s="179">
        <f t="shared" si="32"/>
        <v>-2472.1782552932568</v>
      </c>
      <c r="G128" s="179">
        <f t="shared" si="32"/>
        <v>0</v>
      </c>
      <c r="H128" s="179">
        <f t="shared" si="31"/>
        <v>2892.9579906437202</v>
      </c>
      <c r="I128" s="179">
        <f t="shared" si="31"/>
        <v>0</v>
      </c>
      <c r="J128" s="179">
        <f t="shared" si="31"/>
        <v>0</v>
      </c>
      <c r="K128" s="179">
        <f t="shared" si="31"/>
        <v>0</v>
      </c>
      <c r="L128" s="179">
        <f t="shared" si="31"/>
        <v>0</v>
      </c>
      <c r="M128" s="179">
        <f t="shared" si="31"/>
        <v>3569.8174678671771</v>
      </c>
      <c r="N128" s="179">
        <f t="shared" si="31"/>
        <v>0</v>
      </c>
      <c r="O128" s="179">
        <f t="shared" si="31"/>
        <v>-4177.4220555066022</v>
      </c>
      <c r="P128" s="179">
        <f t="shared" si="31"/>
        <v>0</v>
      </c>
      <c r="Q128" s="180">
        <f t="shared" si="31"/>
        <v>0</v>
      </c>
    </row>
    <row r="129" spans="1:19" x14ac:dyDescent="0.2">
      <c r="B129" s="10" t="s">
        <v>68</v>
      </c>
      <c r="C129" s="10"/>
      <c r="D129" s="10"/>
      <c r="E129" s="178">
        <f t="shared" si="32"/>
        <v>0</v>
      </c>
      <c r="F129" s="179">
        <f t="shared" si="32"/>
        <v>0</v>
      </c>
      <c r="G129" s="179">
        <f t="shared" si="32"/>
        <v>0</v>
      </c>
      <c r="H129" s="179">
        <f t="shared" si="31"/>
        <v>0</v>
      </c>
      <c r="I129" s="179">
        <f t="shared" si="31"/>
        <v>0</v>
      </c>
      <c r="J129" s="179">
        <f t="shared" si="31"/>
        <v>0</v>
      </c>
      <c r="K129" s="179">
        <f t="shared" si="31"/>
        <v>0</v>
      </c>
      <c r="L129" s="179">
        <f t="shared" si="31"/>
        <v>0</v>
      </c>
      <c r="M129" s="179">
        <f t="shared" si="31"/>
        <v>2062.2155926537525</v>
      </c>
      <c r="N129" s="179">
        <f t="shared" si="31"/>
        <v>0</v>
      </c>
      <c r="O129" s="179">
        <f t="shared" si="31"/>
        <v>-2413.2171959784737</v>
      </c>
      <c r="P129" s="179">
        <f t="shared" si="31"/>
        <v>0</v>
      </c>
      <c r="Q129" s="180">
        <f t="shared" si="31"/>
        <v>0</v>
      </c>
    </row>
    <row r="130" spans="1:19" x14ac:dyDescent="0.2">
      <c r="B130" s="11" t="s">
        <v>45</v>
      </c>
      <c r="C130" s="11"/>
      <c r="D130" s="11"/>
      <c r="E130" s="32">
        <f>SUM(E127:E129)</f>
        <v>0</v>
      </c>
      <c r="F130" s="32">
        <f>SUM(F127:F129)</f>
        <v>-9529.6339426977793</v>
      </c>
      <c r="G130" s="32">
        <f t="shared" ref="G130:Q130" si="33">SUM(G127:G129)</f>
        <v>0</v>
      </c>
      <c r="H130" s="32">
        <f t="shared" si="33"/>
        <v>11151.635446759832</v>
      </c>
      <c r="I130" s="32">
        <f t="shared" si="33"/>
        <v>0</v>
      </c>
      <c r="J130" s="32">
        <f t="shared" si="33"/>
        <v>0</v>
      </c>
      <c r="K130" s="32">
        <f t="shared" si="33"/>
        <v>0</v>
      </c>
      <c r="L130" s="32">
        <f t="shared" si="33"/>
        <v>0</v>
      </c>
      <c r="M130" s="91">
        <f t="shared" si="33"/>
        <v>17711.896671085618</v>
      </c>
      <c r="N130" s="32">
        <f t="shared" si="33"/>
        <v>0</v>
      </c>
      <c r="O130" s="32">
        <f t="shared" si="33"/>
        <v>-20726.568925344276</v>
      </c>
      <c r="P130" s="32">
        <f t="shared" si="33"/>
        <v>0</v>
      </c>
      <c r="Q130" s="33">
        <f t="shared" si="33"/>
        <v>0</v>
      </c>
      <c r="S130" s="167"/>
    </row>
    <row r="132" spans="1:19" x14ac:dyDescent="0.2">
      <c r="B132" s="11" t="s">
        <v>96</v>
      </c>
      <c r="C132" s="11"/>
      <c r="D132" s="11"/>
      <c r="E132" s="3" t="s">
        <v>12</v>
      </c>
      <c r="F132" s="3" t="s">
        <v>13</v>
      </c>
      <c r="G132" s="3" t="s">
        <v>14</v>
      </c>
      <c r="H132" s="3" t="s">
        <v>15</v>
      </c>
      <c r="I132" s="3" t="s">
        <v>16</v>
      </c>
      <c r="J132" s="3" t="s">
        <v>17</v>
      </c>
      <c r="K132" s="3" t="s">
        <v>18</v>
      </c>
      <c r="L132" s="3" t="s">
        <v>19</v>
      </c>
      <c r="M132" s="77" t="s">
        <v>20</v>
      </c>
      <c r="N132" s="3" t="s">
        <v>21</v>
      </c>
      <c r="O132" s="3" t="s">
        <v>22</v>
      </c>
      <c r="P132" s="3" t="s">
        <v>23</v>
      </c>
      <c r="Q132" s="3" t="s">
        <v>24</v>
      </c>
    </row>
    <row r="133" spans="1:19" x14ac:dyDescent="0.2">
      <c r="B133" s="10" t="s">
        <v>66</v>
      </c>
      <c r="C133" s="10"/>
      <c r="D133" s="10"/>
      <c r="E133" s="34">
        <f t="shared" ref="E133:Q135" si="34">SUM(E115,E127)</f>
        <v>124478.790266935</v>
      </c>
      <c r="F133" s="35">
        <f t="shared" si="34"/>
        <v>118871.83970556456</v>
      </c>
      <c r="G133" s="35">
        <f t="shared" si="34"/>
        <v>127415.35588325732</v>
      </c>
      <c r="H133" s="35">
        <f t="shared" si="34"/>
        <v>137198.89567351964</v>
      </c>
      <c r="I133" s="35">
        <f t="shared" si="34"/>
        <v>130075.5496746139</v>
      </c>
      <c r="J133" s="35">
        <f t="shared" si="34"/>
        <v>131563.88144351507</v>
      </c>
      <c r="K133" s="35">
        <f t="shared" si="34"/>
        <v>133089.01927238036</v>
      </c>
      <c r="L133" s="35">
        <f t="shared" si="34"/>
        <v>134655.15653049384</v>
      </c>
      <c r="M133" s="48">
        <f t="shared" si="34"/>
        <v>147420.88341778121</v>
      </c>
      <c r="N133" s="35">
        <f t="shared" si="34"/>
        <v>136860.60634046869</v>
      </c>
      <c r="O133" s="35">
        <f t="shared" si="34"/>
        <v>124284.2471103823</v>
      </c>
      <c r="P133" s="35">
        <f t="shared" si="34"/>
        <v>140025.07201368126</v>
      </c>
      <c r="Q133" s="36">
        <f t="shared" si="34"/>
        <v>139462.15668618664</v>
      </c>
    </row>
    <row r="134" spans="1:19" x14ac:dyDescent="0.2">
      <c r="B134" s="10" t="s">
        <v>67</v>
      </c>
      <c r="C134" s="10"/>
      <c r="D134" s="10"/>
      <c r="E134" s="22">
        <f t="shared" si="34"/>
        <v>24558.065524682825</v>
      </c>
      <c r="F134" s="23">
        <f t="shared" si="34"/>
        <v>41639.989013502112</v>
      </c>
      <c r="G134" s="23">
        <f t="shared" si="34"/>
        <v>44139.916550854017</v>
      </c>
      <c r="H134" s="23">
        <f t="shared" si="34"/>
        <v>47034.441183116309</v>
      </c>
      <c r="I134" s="23">
        <f t="shared" si="34"/>
        <v>40852.105504689527</v>
      </c>
      <c r="J134" s="23">
        <f t="shared" si="34"/>
        <v>40900.926246350136</v>
      </c>
      <c r="K134" s="23">
        <f t="shared" si="34"/>
        <v>42875.856280882952</v>
      </c>
      <c r="L134" s="23">
        <f t="shared" si="34"/>
        <v>43497.126314392088</v>
      </c>
      <c r="M134" s="37">
        <f t="shared" si="34"/>
        <v>43565.528694624489</v>
      </c>
      <c r="N134" s="23">
        <f t="shared" si="34"/>
        <v>40440.506456885669</v>
      </c>
      <c r="O134" s="23">
        <f t="shared" si="34"/>
        <v>36664.603553352703</v>
      </c>
      <c r="P134" s="23">
        <f t="shared" si="34"/>
        <v>41200.528116427959</v>
      </c>
      <c r="Q134" s="24">
        <f t="shared" si="34"/>
        <v>39548.677637751425</v>
      </c>
    </row>
    <row r="135" spans="1:19" x14ac:dyDescent="0.2">
      <c r="B135" s="10" t="s">
        <v>68</v>
      </c>
      <c r="C135" s="10"/>
      <c r="D135" s="10"/>
      <c r="E135" s="22">
        <f t="shared" si="34"/>
        <v>0</v>
      </c>
      <c r="F135" s="23">
        <f t="shared" si="34"/>
        <v>0</v>
      </c>
      <c r="G135" s="23">
        <f t="shared" si="34"/>
        <v>0</v>
      </c>
      <c r="H135" s="23">
        <f t="shared" si="34"/>
        <v>0</v>
      </c>
      <c r="I135" s="23">
        <f t="shared" si="34"/>
        <v>0</v>
      </c>
      <c r="J135" s="23">
        <f t="shared" si="34"/>
        <v>13643.369735934903</v>
      </c>
      <c r="K135" s="23">
        <f t="shared" si="34"/>
        <v>24964.251142229208</v>
      </c>
      <c r="L135" s="23">
        <f t="shared" si="34"/>
        <v>24965.137189097255</v>
      </c>
      <c r="M135" s="37">
        <f t="shared" si="34"/>
        <v>25166.976570915765</v>
      </c>
      <c r="N135" s="23">
        <f t="shared" si="34"/>
        <v>23132.372567748389</v>
      </c>
      <c r="O135" s="23">
        <f t="shared" si="34"/>
        <v>20750.588408753232</v>
      </c>
      <c r="P135" s="23">
        <f t="shared" si="34"/>
        <v>24447.432890815518</v>
      </c>
      <c r="Q135" s="24">
        <f t="shared" si="34"/>
        <v>22477.352823693469</v>
      </c>
      <c r="S135" s="167"/>
    </row>
    <row r="136" spans="1:19" x14ac:dyDescent="0.2">
      <c r="A136" s="2"/>
      <c r="B136" s="11" t="s">
        <v>45</v>
      </c>
      <c r="C136" s="11"/>
      <c r="D136" s="11"/>
      <c r="E136" s="31">
        <f>SUM(E133:E135)</f>
        <v>149036.85579161783</v>
      </c>
      <c r="F136" s="98">
        <f t="shared" ref="F136:Q136" si="35">SUM(F133:F135)</f>
        <v>160511.82871906669</v>
      </c>
      <c r="G136" s="32">
        <f t="shared" si="35"/>
        <v>171555.27243411134</v>
      </c>
      <c r="H136" s="98">
        <f t="shared" si="35"/>
        <v>184233.33685663596</v>
      </c>
      <c r="I136" s="32">
        <f t="shared" si="35"/>
        <v>170927.65517930343</v>
      </c>
      <c r="J136" s="32">
        <f t="shared" si="35"/>
        <v>186108.17742580012</v>
      </c>
      <c r="K136" s="32">
        <f t="shared" si="35"/>
        <v>200929.12669549254</v>
      </c>
      <c r="L136" s="32">
        <f t="shared" si="35"/>
        <v>203117.42003398319</v>
      </c>
      <c r="M136" s="98">
        <f t="shared" si="35"/>
        <v>216153.38868332148</v>
      </c>
      <c r="N136" s="32">
        <f t="shared" si="35"/>
        <v>200433.48536510274</v>
      </c>
      <c r="O136" s="98">
        <f t="shared" si="35"/>
        <v>181699.43907248823</v>
      </c>
      <c r="P136" s="32">
        <f t="shared" si="35"/>
        <v>205673.03302092475</v>
      </c>
      <c r="Q136" s="33">
        <f t="shared" si="35"/>
        <v>201488.18714763154</v>
      </c>
    </row>
    <row r="137" spans="1:19" x14ac:dyDescent="0.2"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1:19" s="262" customFormat="1" hidden="1" x14ac:dyDescent="0.2">
      <c r="B138" s="266"/>
      <c r="C138" s="266"/>
      <c r="D138" s="266"/>
      <c r="E138" s="267" t="s">
        <v>12</v>
      </c>
      <c r="F138" s="267" t="s">
        <v>13</v>
      </c>
      <c r="G138" s="267" t="s">
        <v>14</v>
      </c>
      <c r="H138" s="267" t="s">
        <v>15</v>
      </c>
      <c r="I138" s="267" t="s">
        <v>16</v>
      </c>
      <c r="J138" s="267" t="s">
        <v>17</v>
      </c>
      <c r="K138" s="267" t="s">
        <v>18</v>
      </c>
      <c r="L138" s="267" t="s">
        <v>19</v>
      </c>
      <c r="M138" s="267" t="s">
        <v>20</v>
      </c>
      <c r="N138" s="267" t="s">
        <v>21</v>
      </c>
      <c r="O138" s="267" t="s">
        <v>22</v>
      </c>
      <c r="P138" s="267" t="s">
        <v>23</v>
      </c>
      <c r="Q138" s="267" t="s">
        <v>24</v>
      </c>
    </row>
    <row r="139" spans="1:19" s="262" customFormat="1" hidden="1" x14ac:dyDescent="0.2">
      <c r="B139" s="268"/>
      <c r="C139" s="268"/>
      <c r="D139" s="268"/>
      <c r="E139" s="281">
        <f>Assumptions!$D$4*E133</f>
        <v>0</v>
      </c>
      <c r="F139" s="281">
        <f>Assumptions!$D$4*F133</f>
        <v>0</v>
      </c>
      <c r="G139" s="281">
        <f>Assumptions!$D$4*G133</f>
        <v>0</v>
      </c>
      <c r="H139" s="281">
        <f>Assumptions!$D$4*H133</f>
        <v>0</v>
      </c>
      <c r="I139" s="281">
        <f>Assumptions!$D$4*I133</f>
        <v>0</v>
      </c>
      <c r="J139" s="281">
        <f>Assumptions!$D$4*J133</f>
        <v>0</v>
      </c>
      <c r="K139" s="281">
        <f>Assumptions!$D$4*K133</f>
        <v>0</v>
      </c>
      <c r="L139" s="281">
        <f>Assumptions!$D$4*L133</f>
        <v>0</v>
      </c>
      <c r="M139" s="281">
        <f>Assumptions!$D$4*M133</f>
        <v>0</v>
      </c>
      <c r="N139" s="281">
        <f>Assumptions!$D$4*N133</f>
        <v>0</v>
      </c>
      <c r="O139" s="281">
        <f>Assumptions!$D$4*O133</f>
        <v>0</v>
      </c>
      <c r="P139" s="281">
        <f>Assumptions!$D$4*P133</f>
        <v>0</v>
      </c>
      <c r="Q139" s="281">
        <f>Assumptions!$D$4*Q133</f>
        <v>0</v>
      </c>
    </row>
    <row r="140" spans="1:19" s="262" customFormat="1" hidden="1" x14ac:dyDescent="0.2">
      <c r="B140" s="268"/>
      <c r="C140" s="268"/>
      <c r="D140" s="268"/>
      <c r="E140" s="281">
        <f>Assumptions!$D$4*E134</f>
        <v>0</v>
      </c>
      <c r="F140" s="281">
        <f>Assumptions!$D$4*F134</f>
        <v>0</v>
      </c>
      <c r="G140" s="281">
        <f>Assumptions!$D$4*G134</f>
        <v>0</v>
      </c>
      <c r="H140" s="281">
        <f>Assumptions!$D$4*H134</f>
        <v>0</v>
      </c>
      <c r="I140" s="281">
        <f>Assumptions!$D$4*I134</f>
        <v>0</v>
      </c>
      <c r="J140" s="281">
        <f>Assumptions!$D$4*J134</f>
        <v>0</v>
      </c>
      <c r="K140" s="281">
        <f>Assumptions!$D$4*K134</f>
        <v>0</v>
      </c>
      <c r="L140" s="281">
        <f>Assumptions!$D$4*L134</f>
        <v>0</v>
      </c>
      <c r="M140" s="281">
        <f>Assumptions!$D$4*M134</f>
        <v>0</v>
      </c>
      <c r="N140" s="281">
        <f>Assumptions!$D$4*N134</f>
        <v>0</v>
      </c>
      <c r="O140" s="281">
        <f>Assumptions!$D$4*O134</f>
        <v>0</v>
      </c>
      <c r="P140" s="281">
        <f>Assumptions!$D$4*P134</f>
        <v>0</v>
      </c>
      <c r="Q140" s="281">
        <f>Assumptions!$D$4*Q134</f>
        <v>0</v>
      </c>
    </row>
    <row r="141" spans="1:19" s="262" customFormat="1" hidden="1" x14ac:dyDescent="0.2">
      <c r="B141" s="268"/>
      <c r="C141" s="268"/>
      <c r="D141" s="268"/>
      <c r="E141" s="281">
        <f>Assumptions!$D$4*E135</f>
        <v>0</v>
      </c>
      <c r="F141" s="281">
        <f>Assumptions!$D$4*F135</f>
        <v>0</v>
      </c>
      <c r="G141" s="281">
        <f>Assumptions!$D$4*G135</f>
        <v>0</v>
      </c>
      <c r="H141" s="281">
        <f>Assumptions!$D$4*H135</f>
        <v>0</v>
      </c>
      <c r="I141" s="281">
        <f>Assumptions!$D$4*I135</f>
        <v>0</v>
      </c>
      <c r="J141" s="281">
        <f>Assumptions!$D$4*J135</f>
        <v>0</v>
      </c>
      <c r="K141" s="281">
        <f>Assumptions!$D$4*K135</f>
        <v>0</v>
      </c>
      <c r="L141" s="281">
        <f>Assumptions!$D$4*L135</f>
        <v>0</v>
      </c>
      <c r="M141" s="281">
        <f>Assumptions!$D$4*M135</f>
        <v>0</v>
      </c>
      <c r="N141" s="281">
        <f>Assumptions!$D$4*N135</f>
        <v>0</v>
      </c>
      <c r="O141" s="281">
        <f>Assumptions!$D$4*O135</f>
        <v>0</v>
      </c>
      <c r="P141" s="281">
        <f>Assumptions!$D$4*P135</f>
        <v>0</v>
      </c>
      <c r="Q141" s="281">
        <f>Assumptions!$D$4*Q135</f>
        <v>0</v>
      </c>
      <c r="S141" s="270"/>
    </row>
    <row r="142" spans="1:19" s="262" customFormat="1" hidden="1" x14ac:dyDescent="0.2">
      <c r="B142" s="266"/>
      <c r="C142" s="266"/>
      <c r="D142" s="266"/>
      <c r="E142" s="271">
        <f>SUM(E139:E141)</f>
        <v>0</v>
      </c>
      <c r="F142" s="271">
        <f t="shared" ref="F142:Q142" si="36">SUM(F139:F141)</f>
        <v>0</v>
      </c>
      <c r="G142" s="271">
        <f t="shared" si="36"/>
        <v>0</v>
      </c>
      <c r="H142" s="271">
        <f t="shared" si="36"/>
        <v>0</v>
      </c>
      <c r="I142" s="271">
        <f t="shared" si="36"/>
        <v>0</v>
      </c>
      <c r="J142" s="271">
        <f t="shared" si="36"/>
        <v>0</v>
      </c>
      <c r="K142" s="271">
        <f t="shared" si="36"/>
        <v>0</v>
      </c>
      <c r="L142" s="271">
        <f t="shared" si="36"/>
        <v>0</v>
      </c>
      <c r="M142" s="271">
        <f t="shared" si="36"/>
        <v>0</v>
      </c>
      <c r="N142" s="271">
        <f t="shared" si="36"/>
        <v>0</v>
      </c>
      <c r="O142" s="271">
        <f t="shared" si="36"/>
        <v>0</v>
      </c>
      <c r="P142" s="271">
        <f t="shared" si="36"/>
        <v>0</v>
      </c>
      <c r="Q142" s="271">
        <f t="shared" si="36"/>
        <v>0</v>
      </c>
    </row>
    <row r="143" spans="1:19" hidden="1" x14ac:dyDescent="0.2"/>
    <row r="144" spans="1:19" x14ac:dyDescent="0.2">
      <c r="B144" s="11" t="s">
        <v>98</v>
      </c>
      <c r="C144" s="11"/>
      <c r="D144" s="11"/>
      <c r="E144" s="3" t="s">
        <v>12</v>
      </c>
      <c r="F144" s="3" t="s">
        <v>13</v>
      </c>
      <c r="G144" s="3" t="s">
        <v>14</v>
      </c>
      <c r="H144" s="3" t="s">
        <v>15</v>
      </c>
      <c r="I144" s="3" t="s">
        <v>16</v>
      </c>
      <c r="J144" s="3" t="s">
        <v>17</v>
      </c>
      <c r="K144" s="3" t="s">
        <v>18</v>
      </c>
      <c r="L144" s="3" t="s">
        <v>19</v>
      </c>
      <c r="M144" s="77" t="s">
        <v>20</v>
      </c>
      <c r="N144" s="3" t="s">
        <v>21</v>
      </c>
      <c r="O144" s="3" t="s">
        <v>22</v>
      </c>
      <c r="P144" s="3" t="s">
        <v>23</v>
      </c>
      <c r="Q144" s="3" t="s">
        <v>24</v>
      </c>
    </row>
    <row r="145" spans="2:19" x14ac:dyDescent="0.2">
      <c r="B145" s="10" t="s">
        <v>40</v>
      </c>
      <c r="C145" s="10"/>
      <c r="D145" s="10"/>
      <c r="E145" s="34">
        <f t="shared" ref="E145:Q145" si="37">(E134-E140)</f>
        <v>24558.065524682825</v>
      </c>
      <c r="F145" s="35">
        <f t="shared" si="37"/>
        <v>41639.989013502112</v>
      </c>
      <c r="G145" s="35">
        <f t="shared" si="37"/>
        <v>44139.916550854017</v>
      </c>
      <c r="H145" s="35">
        <f t="shared" si="37"/>
        <v>47034.441183116309</v>
      </c>
      <c r="I145" s="35">
        <f t="shared" si="37"/>
        <v>40852.105504689527</v>
      </c>
      <c r="J145" s="35">
        <f t="shared" si="37"/>
        <v>40900.926246350136</v>
      </c>
      <c r="K145" s="35">
        <f t="shared" si="37"/>
        <v>42875.856280882952</v>
      </c>
      <c r="L145" s="35">
        <f t="shared" si="37"/>
        <v>43497.126314392088</v>
      </c>
      <c r="M145" s="48">
        <f t="shared" si="37"/>
        <v>43565.528694624489</v>
      </c>
      <c r="N145" s="35">
        <f t="shared" si="37"/>
        <v>40440.506456885669</v>
      </c>
      <c r="O145" s="35">
        <f t="shared" si="37"/>
        <v>36664.603553352703</v>
      </c>
      <c r="P145" s="35">
        <f t="shared" si="37"/>
        <v>41200.528116427959</v>
      </c>
      <c r="Q145" s="36">
        <f t="shared" si="37"/>
        <v>39548.677637751425</v>
      </c>
    </row>
    <row r="146" spans="2:19" x14ac:dyDescent="0.2">
      <c r="B146" s="10" t="s">
        <v>41</v>
      </c>
      <c r="C146" s="10"/>
      <c r="D146" s="10"/>
      <c r="E146" s="25">
        <f t="shared" ref="E146:P146" si="38">E135-E141</f>
        <v>0</v>
      </c>
      <c r="F146" s="26">
        <f t="shared" si="38"/>
        <v>0</v>
      </c>
      <c r="G146" s="26">
        <f t="shared" si="38"/>
        <v>0</v>
      </c>
      <c r="H146" s="26">
        <f t="shared" si="38"/>
        <v>0</v>
      </c>
      <c r="I146" s="26">
        <f t="shared" si="38"/>
        <v>0</v>
      </c>
      <c r="J146" s="26">
        <f t="shared" si="38"/>
        <v>13643.369735934903</v>
      </c>
      <c r="K146" s="26">
        <f t="shared" si="38"/>
        <v>24964.251142229208</v>
      </c>
      <c r="L146" s="26">
        <f t="shared" si="38"/>
        <v>24965.137189097255</v>
      </c>
      <c r="M146" s="62">
        <f t="shared" si="38"/>
        <v>25166.976570915765</v>
      </c>
      <c r="N146" s="26">
        <f t="shared" si="38"/>
        <v>23132.372567748389</v>
      </c>
      <c r="O146" s="26">
        <f t="shared" si="38"/>
        <v>20750.588408753232</v>
      </c>
      <c r="P146" s="26">
        <f t="shared" si="38"/>
        <v>24447.432890815518</v>
      </c>
      <c r="Q146" s="27">
        <f>Q135-Q141</f>
        <v>22477.352823693469</v>
      </c>
      <c r="S146" s="167"/>
    </row>
    <row r="147" spans="2:19" x14ac:dyDescent="0.2">
      <c r="B147" s="10"/>
      <c r="C147" s="10"/>
      <c r="D147" s="10"/>
      <c r="E147" s="4"/>
      <c r="F147" s="4"/>
      <c r="G147" s="4"/>
      <c r="H147" s="4"/>
      <c r="I147" s="4"/>
      <c r="J147" s="4"/>
      <c r="K147" s="4"/>
      <c r="L147" s="4"/>
      <c r="M147" s="92"/>
      <c r="N147" s="4"/>
      <c r="O147" s="4"/>
      <c r="P147" s="4"/>
      <c r="Q147" s="4"/>
    </row>
    <row r="148" spans="2:19" x14ac:dyDescent="0.2">
      <c r="B148" s="11" t="s">
        <v>84</v>
      </c>
      <c r="C148" s="11"/>
      <c r="D148" s="11"/>
      <c r="E148" s="3" t="s">
        <v>12</v>
      </c>
      <c r="F148" s="3" t="s">
        <v>13</v>
      </c>
      <c r="G148" s="3" t="s">
        <v>14</v>
      </c>
      <c r="H148" s="3" t="s">
        <v>15</v>
      </c>
      <c r="I148" s="3" t="s">
        <v>16</v>
      </c>
      <c r="J148" s="3" t="s">
        <v>17</v>
      </c>
      <c r="K148" s="3" t="s">
        <v>18</v>
      </c>
      <c r="L148" s="3" t="s">
        <v>19</v>
      </c>
      <c r="M148" s="77" t="s">
        <v>20</v>
      </c>
      <c r="N148" s="3" t="s">
        <v>21</v>
      </c>
      <c r="O148" s="3" t="s">
        <v>22</v>
      </c>
      <c r="P148" s="3" t="s">
        <v>23</v>
      </c>
      <c r="Q148" s="3" t="s">
        <v>24</v>
      </c>
    </row>
    <row r="149" spans="2:19" x14ac:dyDescent="0.2">
      <c r="B149" s="10" t="s">
        <v>85</v>
      </c>
      <c r="C149" s="10"/>
      <c r="D149" s="10"/>
      <c r="E149" s="34">
        <f>Baseline!E66</f>
        <v>24557.924508646793</v>
      </c>
      <c r="F149" s="35">
        <f>Baseline!F66</f>
        <v>44112.047245050446</v>
      </c>
      <c r="G149" s="35">
        <f>Baseline!G66</f>
        <v>44140.10374823452</v>
      </c>
      <c r="H149" s="35">
        <f>Baseline!H66</f>
        <v>44141.304310060383</v>
      </c>
      <c r="I149" s="35">
        <f>Baseline!I66</f>
        <v>40851.948915318426</v>
      </c>
      <c r="J149" s="35">
        <f>Baseline!J66</f>
        <v>40900.887253546782</v>
      </c>
      <c r="K149" s="35">
        <f>Baseline!K66</f>
        <v>42875.829245590365</v>
      </c>
      <c r="L149" s="35">
        <f>Baseline!L66</f>
        <v>43497.25051277491</v>
      </c>
      <c r="M149" s="48">
        <f>Baseline!M66</f>
        <v>39995.813611252182</v>
      </c>
      <c r="N149" s="35">
        <f>Baseline!N66</f>
        <v>40440.408527088483</v>
      </c>
      <c r="O149" s="35">
        <f>Baseline!O66</f>
        <v>40842.023995194715</v>
      </c>
      <c r="P149" s="35">
        <f>Baseline!P66</f>
        <v>41200.721822175343</v>
      </c>
      <c r="Q149" s="36">
        <f>Baseline!Q66</f>
        <v>39548.640903879059</v>
      </c>
    </row>
    <row r="150" spans="2:19" x14ac:dyDescent="0.2">
      <c r="B150" s="10" t="s">
        <v>86</v>
      </c>
      <c r="C150" s="10"/>
      <c r="D150" s="10"/>
      <c r="E150" s="22">
        <f>E145</f>
        <v>24558.065524682825</v>
      </c>
      <c r="F150" s="23">
        <f t="shared" ref="F150:Q150" si="39">F145</f>
        <v>41639.989013502112</v>
      </c>
      <c r="G150" s="23">
        <f t="shared" si="39"/>
        <v>44139.916550854017</v>
      </c>
      <c r="H150" s="23">
        <f t="shared" si="39"/>
        <v>47034.441183116309</v>
      </c>
      <c r="I150" s="23">
        <f t="shared" si="39"/>
        <v>40852.105504689527</v>
      </c>
      <c r="J150" s="23">
        <f t="shared" si="39"/>
        <v>40900.926246350136</v>
      </c>
      <c r="K150" s="23">
        <f t="shared" si="39"/>
        <v>42875.856280882952</v>
      </c>
      <c r="L150" s="23">
        <f t="shared" si="39"/>
        <v>43497.126314392088</v>
      </c>
      <c r="M150" s="37">
        <f t="shared" si="39"/>
        <v>43565.528694624489</v>
      </c>
      <c r="N150" s="23">
        <f t="shared" si="39"/>
        <v>40440.506456885669</v>
      </c>
      <c r="O150" s="23">
        <f t="shared" si="39"/>
        <v>36664.603553352703</v>
      </c>
      <c r="P150" s="23">
        <f t="shared" si="39"/>
        <v>41200.528116427959</v>
      </c>
      <c r="Q150" s="24">
        <f t="shared" si="39"/>
        <v>39548.677637751425</v>
      </c>
    </row>
    <row r="151" spans="2:19" x14ac:dyDescent="0.2">
      <c r="B151" s="10" t="s">
        <v>87</v>
      </c>
      <c r="C151" s="10"/>
      <c r="D151" s="10"/>
      <c r="E151" s="25">
        <f>E150-E149</f>
        <v>0.14101603603194235</v>
      </c>
      <c r="F151" s="113">
        <f t="shared" ref="F151:Q151" si="40">F150-F149</f>
        <v>-2472.0582315483334</v>
      </c>
      <c r="G151" s="26">
        <f t="shared" si="40"/>
        <v>-0.18719738050276646</v>
      </c>
      <c r="H151" s="113">
        <f t="shared" si="40"/>
        <v>2893.1368730559261</v>
      </c>
      <c r="I151" s="26">
        <f t="shared" si="40"/>
        <v>0.15658937110129045</v>
      </c>
      <c r="J151" s="26">
        <f t="shared" si="40"/>
        <v>3.8992803354631178E-2</v>
      </c>
      <c r="K151" s="26">
        <f t="shared" si="40"/>
        <v>2.7035292587243021E-2</v>
      </c>
      <c r="L151" s="26">
        <f t="shared" si="40"/>
        <v>-0.12419838282221463</v>
      </c>
      <c r="M151" s="113">
        <f t="shared" si="40"/>
        <v>3569.7150833723063</v>
      </c>
      <c r="N151" s="26">
        <f t="shared" si="40"/>
        <v>9.7929797186225187E-2</v>
      </c>
      <c r="O151" s="113">
        <f t="shared" si="40"/>
        <v>-4177.4204418420122</v>
      </c>
      <c r="P151" s="26">
        <f t="shared" si="40"/>
        <v>-0.19370574738422874</v>
      </c>
      <c r="Q151" s="27">
        <f t="shared" si="40"/>
        <v>3.6733872366312426E-2</v>
      </c>
    </row>
    <row r="152" spans="2:19" x14ac:dyDescent="0.2">
      <c r="E152" s="3"/>
      <c r="F152" s="3"/>
      <c r="G152" s="3"/>
      <c r="H152" s="3"/>
      <c r="I152" s="3"/>
      <c r="J152" s="3"/>
      <c r="K152" s="3"/>
      <c r="L152" s="3"/>
      <c r="M152" s="77"/>
      <c r="N152" s="3"/>
      <c r="O152" s="3"/>
      <c r="P152" s="3"/>
      <c r="Q152" s="3"/>
    </row>
    <row r="153" spans="2:19" x14ac:dyDescent="0.2">
      <c r="B153" s="10" t="s">
        <v>88</v>
      </c>
      <c r="C153" s="10"/>
      <c r="D153" s="10"/>
      <c r="E153" s="89">
        <f>NPV(Assumptions!$D$3,E149:Q149)</f>
        <v>314165.76454773144</v>
      </c>
      <c r="F153" s="4"/>
      <c r="G153" s="88"/>
      <c r="H153" s="84"/>
      <c r="I153" s="4"/>
      <c r="J153" s="4"/>
      <c r="K153" s="4"/>
      <c r="L153" s="4"/>
      <c r="M153" s="92"/>
      <c r="N153" s="4"/>
      <c r="O153" s="4"/>
      <c r="P153" s="4"/>
      <c r="Q153" s="4"/>
    </row>
    <row r="154" spans="2:19" x14ac:dyDescent="0.2">
      <c r="B154" s="10" t="s">
        <v>89</v>
      </c>
      <c r="C154" s="10"/>
      <c r="D154" s="10"/>
      <c r="E154" s="90">
        <f>NPV(Assumptions!$D$3,E150:Q150)</f>
        <v>314165.99225269811</v>
      </c>
      <c r="H154" s="14"/>
    </row>
    <row r="155" spans="2:19" x14ac:dyDescent="0.2">
      <c r="B155" s="10" t="s">
        <v>90</v>
      </c>
      <c r="C155" s="10"/>
      <c r="D155" s="10"/>
      <c r="E155" s="44">
        <f>E153-E154</f>
        <v>-0.2277049666736275</v>
      </c>
    </row>
    <row r="157" spans="2:19" s="262" customFormat="1" hidden="1" x14ac:dyDescent="0.2">
      <c r="B157" s="266"/>
      <c r="C157" s="266"/>
      <c r="D157" s="266"/>
      <c r="E157" s="267" t="s">
        <v>12</v>
      </c>
      <c r="F157" s="267" t="s">
        <v>13</v>
      </c>
      <c r="G157" s="267" t="s">
        <v>14</v>
      </c>
      <c r="H157" s="267" t="s">
        <v>15</v>
      </c>
      <c r="I157" s="267" t="s">
        <v>16</v>
      </c>
      <c r="J157" s="267" t="s">
        <v>17</v>
      </c>
      <c r="K157" s="267" t="s">
        <v>18</v>
      </c>
      <c r="L157" s="267" t="s">
        <v>19</v>
      </c>
      <c r="M157" s="267" t="s">
        <v>20</v>
      </c>
      <c r="N157" s="267" t="s">
        <v>21</v>
      </c>
      <c r="O157" s="267" t="s">
        <v>22</v>
      </c>
      <c r="P157" s="267" t="s">
        <v>23</v>
      </c>
      <c r="Q157" s="267" t="s">
        <v>24</v>
      </c>
    </row>
    <row r="158" spans="2:19" s="262" customFormat="1" hidden="1" x14ac:dyDescent="0.2">
      <c r="B158" s="268"/>
      <c r="C158" s="268"/>
      <c r="D158" s="268"/>
      <c r="E158" s="281">
        <f>Baseline!E16</f>
        <v>0</v>
      </c>
      <c r="F158" s="281">
        <f>Baseline!F16</f>
        <v>0</v>
      </c>
      <c r="G158" s="281">
        <f>Baseline!G16</f>
        <v>0</v>
      </c>
      <c r="H158" s="281">
        <f>Baseline!H16</f>
        <v>0</v>
      </c>
      <c r="I158" s="281">
        <f>Baseline!I16</f>
        <v>0</v>
      </c>
      <c r="J158" s="281">
        <f>Baseline!J16</f>
        <v>0</v>
      </c>
      <c r="K158" s="281">
        <f>Baseline!K16</f>
        <v>0</v>
      </c>
      <c r="L158" s="281">
        <f>Baseline!L16</f>
        <v>0</v>
      </c>
      <c r="M158" s="281">
        <f>Baseline!M16</f>
        <v>0</v>
      </c>
      <c r="N158" s="281">
        <f>Baseline!N16</f>
        <v>0</v>
      </c>
      <c r="O158" s="281">
        <f>Baseline!O16</f>
        <v>0</v>
      </c>
      <c r="P158" s="281">
        <f>Baseline!P16</f>
        <v>0</v>
      </c>
      <c r="Q158" s="281">
        <f>Baseline!Q16</f>
        <v>0</v>
      </c>
    </row>
    <row r="159" spans="2:19" s="262" customFormat="1" hidden="1" x14ac:dyDescent="0.2">
      <c r="B159" s="268"/>
      <c r="C159" s="268"/>
      <c r="D159" s="268"/>
      <c r="E159" s="281">
        <f>E140</f>
        <v>0</v>
      </c>
      <c r="F159" s="281">
        <f t="shared" ref="F159:Q159" si="41">F140</f>
        <v>0</v>
      </c>
      <c r="G159" s="281">
        <f t="shared" si="41"/>
        <v>0</v>
      </c>
      <c r="H159" s="281">
        <f t="shared" si="41"/>
        <v>0</v>
      </c>
      <c r="I159" s="281">
        <f t="shared" si="41"/>
        <v>0</v>
      </c>
      <c r="J159" s="281">
        <f t="shared" si="41"/>
        <v>0</v>
      </c>
      <c r="K159" s="281">
        <f t="shared" si="41"/>
        <v>0</v>
      </c>
      <c r="L159" s="281">
        <f t="shared" si="41"/>
        <v>0</v>
      </c>
      <c r="M159" s="281">
        <f t="shared" si="41"/>
        <v>0</v>
      </c>
      <c r="N159" s="281">
        <f t="shared" si="41"/>
        <v>0</v>
      </c>
      <c r="O159" s="281">
        <f t="shared" si="41"/>
        <v>0</v>
      </c>
      <c r="P159" s="281">
        <f t="shared" si="41"/>
        <v>0</v>
      </c>
      <c r="Q159" s="281">
        <f t="shared" si="41"/>
        <v>0</v>
      </c>
    </row>
    <row r="160" spans="2:19" s="262" customFormat="1" hidden="1" x14ac:dyDescent="0.2">
      <c r="B160" s="268"/>
      <c r="C160" s="268"/>
      <c r="D160" s="268"/>
      <c r="E160" s="281">
        <f>E159-E158</f>
        <v>0</v>
      </c>
      <c r="F160" s="281">
        <f t="shared" ref="F160:Q160" si="42">F159-F158</f>
        <v>0</v>
      </c>
      <c r="G160" s="281">
        <f t="shared" si="42"/>
        <v>0</v>
      </c>
      <c r="H160" s="281">
        <f t="shared" si="42"/>
        <v>0</v>
      </c>
      <c r="I160" s="281">
        <f t="shared" si="42"/>
        <v>0</v>
      </c>
      <c r="J160" s="281">
        <f t="shared" si="42"/>
        <v>0</v>
      </c>
      <c r="K160" s="281">
        <f t="shared" si="42"/>
        <v>0</v>
      </c>
      <c r="L160" s="281">
        <f t="shared" si="42"/>
        <v>0</v>
      </c>
      <c r="M160" s="281">
        <f t="shared" si="42"/>
        <v>0</v>
      </c>
      <c r="N160" s="281">
        <f t="shared" si="42"/>
        <v>0</v>
      </c>
      <c r="O160" s="281">
        <f t="shared" si="42"/>
        <v>0</v>
      </c>
      <c r="P160" s="281">
        <f t="shared" si="42"/>
        <v>0</v>
      </c>
      <c r="Q160" s="281">
        <f t="shared" si="42"/>
        <v>0</v>
      </c>
    </row>
    <row r="161" spans="2:19" s="262" customFormat="1" hidden="1" x14ac:dyDescent="0.2"/>
    <row r="162" spans="2:19" s="262" customFormat="1" hidden="1" x14ac:dyDescent="0.2">
      <c r="B162" s="268"/>
      <c r="C162" s="268"/>
      <c r="D162" s="268"/>
      <c r="E162" s="281">
        <f>NPV(Assumptions!$D$3,E158:Q158)</f>
        <v>0</v>
      </c>
    </row>
    <row r="163" spans="2:19" s="262" customFormat="1" hidden="1" x14ac:dyDescent="0.2">
      <c r="B163" s="268"/>
      <c r="C163" s="268"/>
      <c r="D163" s="268"/>
      <c r="E163" s="281">
        <f>NPV(Assumptions!$D$3,E159:Q159)</f>
        <v>0</v>
      </c>
    </row>
    <row r="164" spans="2:19" s="262" customFormat="1" hidden="1" x14ac:dyDescent="0.2">
      <c r="B164" s="268"/>
      <c r="C164" s="268"/>
      <c r="D164" s="268"/>
      <c r="E164" s="281">
        <f>E163-E162</f>
        <v>0</v>
      </c>
    </row>
    <row r="165" spans="2:19" hidden="1" x14ac:dyDescent="0.2"/>
    <row r="166" spans="2:19" x14ac:dyDescent="0.2">
      <c r="B166" s="11" t="s">
        <v>99</v>
      </c>
      <c r="C166" s="11"/>
      <c r="D166" s="11"/>
      <c r="E166" s="3" t="s">
        <v>12</v>
      </c>
      <c r="F166" s="3" t="s">
        <v>13</v>
      </c>
      <c r="G166" s="3" t="s">
        <v>14</v>
      </c>
      <c r="H166" s="3" t="s">
        <v>15</v>
      </c>
      <c r="I166" s="3" t="s">
        <v>16</v>
      </c>
      <c r="J166" s="3" t="s">
        <v>17</v>
      </c>
      <c r="K166" s="3" t="s">
        <v>18</v>
      </c>
      <c r="L166" s="3" t="s">
        <v>19</v>
      </c>
      <c r="M166" s="77" t="s">
        <v>20</v>
      </c>
      <c r="N166" s="3" t="s">
        <v>21</v>
      </c>
      <c r="O166" s="3" t="s">
        <v>22</v>
      </c>
      <c r="P166" s="3" t="s">
        <v>23</v>
      </c>
      <c r="Q166" s="3" t="s">
        <v>24</v>
      </c>
    </row>
    <row r="167" spans="2:19" x14ac:dyDescent="0.2">
      <c r="B167" s="10" t="s">
        <v>100</v>
      </c>
      <c r="C167" s="10"/>
      <c r="D167" s="10"/>
      <c r="E167" s="45">
        <f>Baseline!E22</f>
        <v>0.16477847304441071</v>
      </c>
      <c r="F167" s="46">
        <f>Baseline!F22</f>
        <v>0.25942006483760055</v>
      </c>
      <c r="G167" s="46">
        <f>Baseline!G22</f>
        <v>0.25729268430270302</v>
      </c>
      <c r="H167" s="46">
        <f>Baseline!H22</f>
        <v>0.25503263968928064</v>
      </c>
      <c r="I167" s="46">
        <f>Baseline!I22</f>
        <v>0.23900231628308241</v>
      </c>
      <c r="J167" s="46">
        <f>Baseline!J22</f>
        <v>0.21976963512340567</v>
      </c>
      <c r="K167" s="46">
        <f>Baseline!K22</f>
        <v>0.21338795915766448</v>
      </c>
      <c r="L167" s="46">
        <f>Baseline!L22</f>
        <v>0.214147690075596</v>
      </c>
      <c r="M167" s="79">
        <f>Baseline!M22</f>
        <v>0.20154913582433245</v>
      </c>
      <c r="N167" s="46">
        <f>Baseline!N22</f>
        <v>0.20176522093212437</v>
      </c>
      <c r="O167" s="46">
        <f>Baseline!O22</f>
        <v>0.20176273796446462</v>
      </c>
      <c r="P167" s="46">
        <f>Baseline!P22</f>
        <v>0.20032051606997162</v>
      </c>
      <c r="Q167" s="47">
        <f>Baseline!Q22</f>
        <v>0.19628286004069254</v>
      </c>
    </row>
    <row r="168" spans="2:19" x14ac:dyDescent="0.2">
      <c r="B168" s="10" t="s">
        <v>101</v>
      </c>
      <c r="C168" s="10"/>
      <c r="D168" s="10"/>
      <c r="E168" s="38">
        <f>(E134-E140)/(E136-E142)</f>
        <v>0.16477847304441071</v>
      </c>
      <c r="F168" s="39">
        <f t="shared" ref="F168:Q168" si="43">(F134-F140)/(F136-F142)</f>
        <v>0.25942006483760055</v>
      </c>
      <c r="G168" s="39">
        <f t="shared" si="43"/>
        <v>0.25729268430270302</v>
      </c>
      <c r="H168" s="39">
        <f t="shared" si="43"/>
        <v>0.25529821033267663</v>
      </c>
      <c r="I168" s="39">
        <f t="shared" si="43"/>
        <v>0.23900231628308241</v>
      </c>
      <c r="J168" s="39">
        <f t="shared" si="43"/>
        <v>0.21976963512340567</v>
      </c>
      <c r="K168" s="39">
        <f t="shared" si="43"/>
        <v>0.21338795915766448</v>
      </c>
      <c r="L168" s="39">
        <f t="shared" si="43"/>
        <v>0.214147690075596</v>
      </c>
      <c r="M168" s="80">
        <f t="shared" si="43"/>
        <v>0.20154913582433245</v>
      </c>
      <c r="N168" s="39">
        <f t="shared" si="43"/>
        <v>0.20176522093212437</v>
      </c>
      <c r="O168" s="39">
        <f t="shared" si="43"/>
        <v>0.2017871036945002</v>
      </c>
      <c r="P168" s="39">
        <f t="shared" si="43"/>
        <v>0.20032051606997162</v>
      </c>
      <c r="Q168" s="40">
        <f t="shared" si="43"/>
        <v>0.19628286004069254</v>
      </c>
    </row>
    <row r="169" spans="2:19" x14ac:dyDescent="0.2">
      <c r="B169" s="10" t="s">
        <v>87</v>
      </c>
      <c r="C169" s="10"/>
      <c r="D169" s="10"/>
      <c r="E169" s="53">
        <f>E168-E167</f>
        <v>0</v>
      </c>
      <c r="F169" s="54">
        <f t="shared" ref="F169:Q169" si="44">F168-F167</f>
        <v>0</v>
      </c>
      <c r="G169" s="54">
        <f t="shared" si="44"/>
        <v>0</v>
      </c>
      <c r="H169" s="54">
        <f t="shared" si="44"/>
        <v>2.655706433959959E-4</v>
      </c>
      <c r="I169" s="54">
        <f t="shared" si="44"/>
        <v>0</v>
      </c>
      <c r="J169" s="54">
        <f t="shared" si="44"/>
        <v>0</v>
      </c>
      <c r="K169" s="54">
        <f t="shared" si="44"/>
        <v>0</v>
      </c>
      <c r="L169" s="54">
        <f t="shared" si="44"/>
        <v>0</v>
      </c>
      <c r="M169" s="93">
        <f t="shared" si="44"/>
        <v>0</v>
      </c>
      <c r="N169" s="54">
        <f t="shared" si="44"/>
        <v>0</v>
      </c>
      <c r="O169" s="54">
        <f t="shared" si="44"/>
        <v>2.4365730035585953E-5</v>
      </c>
      <c r="P169" s="54">
        <f t="shared" si="44"/>
        <v>0</v>
      </c>
      <c r="Q169" s="55">
        <f t="shared" si="44"/>
        <v>0</v>
      </c>
    </row>
    <row r="171" spans="2:19" x14ac:dyDescent="0.2">
      <c r="B171" s="11" t="s">
        <v>91</v>
      </c>
      <c r="C171" s="11"/>
      <c r="D171" s="11"/>
      <c r="E171" s="3" t="s">
        <v>12</v>
      </c>
      <c r="F171" s="3" t="s">
        <v>13</v>
      </c>
      <c r="G171" s="3" t="s">
        <v>14</v>
      </c>
      <c r="H171" s="3" t="s">
        <v>15</v>
      </c>
      <c r="I171" s="3" t="s">
        <v>16</v>
      </c>
      <c r="J171" s="3" t="s">
        <v>17</v>
      </c>
      <c r="K171" s="3" t="s">
        <v>18</v>
      </c>
      <c r="L171" s="3" t="s">
        <v>19</v>
      </c>
      <c r="M171" s="77" t="s">
        <v>20</v>
      </c>
      <c r="N171" s="3" t="s">
        <v>21</v>
      </c>
      <c r="O171" s="3" t="s">
        <v>22</v>
      </c>
      <c r="P171" s="3" t="s">
        <v>23</v>
      </c>
      <c r="Q171" s="3" t="s">
        <v>24</v>
      </c>
    </row>
    <row r="172" spans="2:19" x14ac:dyDescent="0.2">
      <c r="B172" s="10" t="s">
        <v>85</v>
      </c>
      <c r="C172" s="10"/>
      <c r="D172" s="10"/>
      <c r="E172" s="34">
        <f>Baseline!E67</f>
        <v>0</v>
      </c>
      <c r="F172" s="35">
        <f>Baseline!F67</f>
        <v>0</v>
      </c>
      <c r="G172" s="35">
        <f>Baseline!G67</f>
        <v>0</v>
      </c>
      <c r="H172" s="35">
        <f>Baseline!H67</f>
        <v>0</v>
      </c>
      <c r="I172" s="35">
        <f>Baseline!I67</f>
        <v>0</v>
      </c>
      <c r="J172" s="35">
        <f>Baseline!J67</f>
        <v>13643.356729059948</v>
      </c>
      <c r="K172" s="35">
        <f>Baseline!K67</f>
        <v>24964.235401066409</v>
      </c>
      <c r="L172" s="35">
        <f>Baseline!L67</f>
        <v>24965.208472649265</v>
      </c>
      <c r="M172" s="48">
        <f>Baseline!M67</f>
        <v>23104.820123835609</v>
      </c>
      <c r="N172" s="35">
        <f>Baseline!N67</f>
        <v>23132.316550928808</v>
      </c>
      <c r="O172" s="35">
        <f>Baseline!O67</f>
        <v>23163.804689531924</v>
      </c>
      <c r="P172" s="35">
        <f>Baseline!P67</f>
        <v>24447.54783129022</v>
      </c>
      <c r="Q172" s="36">
        <f>Baseline!Q67</f>
        <v>22477.331946125392</v>
      </c>
      <c r="S172" s="167"/>
    </row>
    <row r="173" spans="2:19" x14ac:dyDescent="0.2">
      <c r="B173" s="10" t="s">
        <v>86</v>
      </c>
      <c r="C173" s="10"/>
      <c r="D173" s="10"/>
      <c r="E173" s="22">
        <f t="shared" ref="E173:Q173" si="45">E146</f>
        <v>0</v>
      </c>
      <c r="F173" s="23">
        <f t="shared" si="45"/>
        <v>0</v>
      </c>
      <c r="G173" s="23">
        <f t="shared" si="45"/>
        <v>0</v>
      </c>
      <c r="H173" s="23">
        <f t="shared" si="45"/>
        <v>0</v>
      </c>
      <c r="I173" s="23">
        <f t="shared" si="45"/>
        <v>0</v>
      </c>
      <c r="J173" s="23">
        <f t="shared" si="45"/>
        <v>13643.369735934903</v>
      </c>
      <c r="K173" s="23">
        <f t="shared" si="45"/>
        <v>24964.251142229208</v>
      </c>
      <c r="L173" s="23">
        <f t="shared" si="45"/>
        <v>24965.137189097255</v>
      </c>
      <c r="M173" s="37">
        <f t="shared" si="45"/>
        <v>25166.976570915765</v>
      </c>
      <c r="N173" s="23">
        <f t="shared" si="45"/>
        <v>23132.372567748389</v>
      </c>
      <c r="O173" s="23">
        <f t="shared" si="45"/>
        <v>20750.588408753232</v>
      </c>
      <c r="P173" s="23">
        <f t="shared" si="45"/>
        <v>24447.432890815518</v>
      </c>
      <c r="Q173" s="24">
        <f t="shared" si="45"/>
        <v>22477.352823693469</v>
      </c>
    </row>
    <row r="174" spans="2:19" x14ac:dyDescent="0.2">
      <c r="B174" s="10" t="s">
        <v>87</v>
      </c>
      <c r="C174" s="10"/>
      <c r="D174" s="10"/>
      <c r="E174" s="25">
        <f t="shared" ref="E174:I174" si="46">E173-E172</f>
        <v>0</v>
      </c>
      <c r="F174" s="26">
        <f t="shared" si="46"/>
        <v>0</v>
      </c>
      <c r="G174" s="26">
        <f t="shared" si="46"/>
        <v>0</v>
      </c>
      <c r="H174" s="26">
        <f t="shared" si="46"/>
        <v>0</v>
      </c>
      <c r="I174" s="26">
        <f t="shared" si="46"/>
        <v>0</v>
      </c>
      <c r="J174" s="26">
        <f>J173-J172</f>
        <v>1.3006874954953673E-2</v>
      </c>
      <c r="K174" s="26">
        <f t="shared" ref="K174:Q174" si="47">K173-K172</f>
        <v>1.5741162798803998E-2</v>
      </c>
      <c r="L174" s="26">
        <f t="shared" si="47"/>
        <v>-7.1283552009845152E-2</v>
      </c>
      <c r="M174" s="62">
        <f t="shared" si="47"/>
        <v>2062.1564470801568</v>
      </c>
      <c r="N174" s="26">
        <f t="shared" si="47"/>
        <v>5.6016819580690935E-2</v>
      </c>
      <c r="O174" s="26">
        <f t="shared" si="47"/>
        <v>-2413.2162807786917</v>
      </c>
      <c r="P174" s="26">
        <f t="shared" si="47"/>
        <v>-0.1149404747011431</v>
      </c>
      <c r="Q174" s="27">
        <f t="shared" si="47"/>
        <v>2.0877568076684838E-2</v>
      </c>
    </row>
    <row r="176" spans="2:19" x14ac:dyDescent="0.2">
      <c r="B176" s="10" t="s">
        <v>88</v>
      </c>
      <c r="C176" s="10"/>
      <c r="D176" s="10"/>
      <c r="E176" s="89">
        <f>NPV(Assumptions!$D$3,J172:Q172)</f>
        <v>126700.0799330163</v>
      </c>
    </row>
    <row r="177" spans="2:19" x14ac:dyDescent="0.2">
      <c r="B177" s="10" t="s">
        <v>89</v>
      </c>
      <c r="C177" s="10"/>
      <c r="D177" s="10"/>
      <c r="E177" s="90">
        <f>NPV(Assumptions!$D$3,J173:Q173)</f>
        <v>126699.98911883404</v>
      </c>
    </row>
    <row r="178" spans="2:19" x14ac:dyDescent="0.2">
      <c r="B178" s="10" t="s">
        <v>90</v>
      </c>
      <c r="C178" s="10"/>
      <c r="D178" s="10"/>
      <c r="E178" s="44">
        <f>E177-E176</f>
        <v>-9.0814182258327492E-2</v>
      </c>
    </row>
    <row r="180" spans="2:19" s="262" customFormat="1" hidden="1" x14ac:dyDescent="0.2">
      <c r="B180" s="266"/>
      <c r="C180" s="266"/>
      <c r="D180" s="266"/>
      <c r="E180" s="267" t="s">
        <v>12</v>
      </c>
      <c r="F180" s="267" t="s">
        <v>13</v>
      </c>
      <c r="G180" s="267" t="s">
        <v>14</v>
      </c>
      <c r="H180" s="267" t="s">
        <v>15</v>
      </c>
      <c r="I180" s="267" t="s">
        <v>16</v>
      </c>
      <c r="J180" s="267" t="s">
        <v>17</v>
      </c>
      <c r="K180" s="267" t="s">
        <v>18</v>
      </c>
      <c r="L180" s="267" t="s">
        <v>19</v>
      </c>
      <c r="M180" s="267" t="s">
        <v>20</v>
      </c>
      <c r="N180" s="267" t="s">
        <v>21</v>
      </c>
      <c r="O180" s="267" t="s">
        <v>22</v>
      </c>
      <c r="P180" s="267" t="s">
        <v>23</v>
      </c>
      <c r="Q180" s="267" t="s">
        <v>24</v>
      </c>
    </row>
    <row r="181" spans="2:19" s="262" customFormat="1" hidden="1" x14ac:dyDescent="0.2">
      <c r="B181" s="268"/>
      <c r="C181" s="268"/>
      <c r="D181" s="268"/>
      <c r="E181" s="281">
        <f>Baseline!E17</f>
        <v>0</v>
      </c>
      <c r="F181" s="281">
        <f>Baseline!F17</f>
        <v>0</v>
      </c>
      <c r="G181" s="281">
        <f>Baseline!G17</f>
        <v>0</v>
      </c>
      <c r="H181" s="281">
        <f>Baseline!H17</f>
        <v>0</v>
      </c>
      <c r="I181" s="281">
        <f>Baseline!I17</f>
        <v>0</v>
      </c>
      <c r="J181" s="281">
        <f>Baseline!J17</f>
        <v>0</v>
      </c>
      <c r="K181" s="281">
        <f>Baseline!K17</f>
        <v>0</v>
      </c>
      <c r="L181" s="281">
        <f>Baseline!L17</f>
        <v>0</v>
      </c>
      <c r="M181" s="281">
        <f>Baseline!M17</f>
        <v>0</v>
      </c>
      <c r="N181" s="281">
        <f>Baseline!N17</f>
        <v>0</v>
      </c>
      <c r="O181" s="281">
        <f>Baseline!O17</f>
        <v>0</v>
      </c>
      <c r="P181" s="281">
        <f>Baseline!P17</f>
        <v>0</v>
      </c>
      <c r="Q181" s="281">
        <f>Baseline!Q17</f>
        <v>0</v>
      </c>
      <c r="S181" s="270"/>
    </row>
    <row r="182" spans="2:19" s="262" customFormat="1" hidden="1" x14ac:dyDescent="0.2">
      <c r="B182" s="268"/>
      <c r="C182" s="268"/>
      <c r="D182" s="268"/>
      <c r="E182" s="281">
        <f t="shared" ref="E182:Q182" si="48">E141</f>
        <v>0</v>
      </c>
      <c r="F182" s="281">
        <f t="shared" si="48"/>
        <v>0</v>
      </c>
      <c r="G182" s="281">
        <f t="shared" si="48"/>
        <v>0</v>
      </c>
      <c r="H182" s="281">
        <f t="shared" si="48"/>
        <v>0</v>
      </c>
      <c r="I182" s="281">
        <f t="shared" si="48"/>
        <v>0</v>
      </c>
      <c r="J182" s="281">
        <f t="shared" si="48"/>
        <v>0</v>
      </c>
      <c r="K182" s="281">
        <f t="shared" si="48"/>
        <v>0</v>
      </c>
      <c r="L182" s="281">
        <f t="shared" si="48"/>
        <v>0</v>
      </c>
      <c r="M182" s="281">
        <f t="shared" si="48"/>
        <v>0</v>
      </c>
      <c r="N182" s="281">
        <f t="shared" si="48"/>
        <v>0</v>
      </c>
      <c r="O182" s="281">
        <f t="shared" si="48"/>
        <v>0</v>
      </c>
      <c r="P182" s="281">
        <f t="shared" si="48"/>
        <v>0</v>
      </c>
      <c r="Q182" s="281">
        <f t="shared" si="48"/>
        <v>0</v>
      </c>
    </row>
    <row r="183" spans="2:19" s="262" customFormat="1" hidden="1" x14ac:dyDescent="0.2">
      <c r="B183" s="268"/>
      <c r="C183" s="268"/>
      <c r="D183" s="268"/>
      <c r="E183" s="281">
        <f t="shared" ref="E183:I183" si="49">E182-E181</f>
        <v>0</v>
      </c>
      <c r="F183" s="281">
        <f t="shared" si="49"/>
        <v>0</v>
      </c>
      <c r="G183" s="281">
        <f t="shared" si="49"/>
        <v>0</v>
      </c>
      <c r="H183" s="281">
        <f t="shared" si="49"/>
        <v>0</v>
      </c>
      <c r="I183" s="281">
        <f t="shared" si="49"/>
        <v>0</v>
      </c>
      <c r="J183" s="281">
        <f>J182-J181</f>
        <v>0</v>
      </c>
      <c r="K183" s="281">
        <f t="shared" ref="K183:Q183" si="50">K182-K181</f>
        <v>0</v>
      </c>
      <c r="L183" s="281">
        <f t="shared" si="50"/>
        <v>0</v>
      </c>
      <c r="M183" s="281">
        <f t="shared" si="50"/>
        <v>0</v>
      </c>
      <c r="N183" s="281">
        <f t="shared" si="50"/>
        <v>0</v>
      </c>
      <c r="O183" s="281">
        <f t="shared" si="50"/>
        <v>0</v>
      </c>
      <c r="P183" s="281">
        <f t="shared" si="50"/>
        <v>0</v>
      </c>
      <c r="Q183" s="281">
        <f t="shared" si="50"/>
        <v>0</v>
      </c>
    </row>
    <row r="184" spans="2:19" s="262" customFormat="1" hidden="1" x14ac:dyDescent="0.2"/>
    <row r="185" spans="2:19" s="262" customFormat="1" hidden="1" x14ac:dyDescent="0.2">
      <c r="B185" s="268"/>
      <c r="C185" s="268"/>
      <c r="D185" s="268"/>
      <c r="E185" s="281">
        <f>NPV(Assumptions!$D$3,J181:Q181)</f>
        <v>0</v>
      </c>
    </row>
    <row r="186" spans="2:19" s="262" customFormat="1" hidden="1" x14ac:dyDescent="0.2">
      <c r="B186" s="268"/>
      <c r="C186" s="268"/>
      <c r="D186" s="268"/>
      <c r="E186" s="281">
        <f>NPV(Assumptions!$D$3,J182:Q182)</f>
        <v>0</v>
      </c>
    </row>
    <row r="187" spans="2:19" s="262" customFormat="1" hidden="1" x14ac:dyDescent="0.2">
      <c r="B187" s="268"/>
      <c r="C187" s="268"/>
      <c r="D187" s="268"/>
      <c r="E187" s="281">
        <f>E186-E185</f>
        <v>0</v>
      </c>
    </row>
    <row r="188" spans="2:19" hidden="1" x14ac:dyDescent="0.2"/>
    <row r="189" spans="2:19" x14ac:dyDescent="0.2">
      <c r="B189" s="11" t="s">
        <v>102</v>
      </c>
      <c r="C189" s="11"/>
      <c r="D189" s="11"/>
      <c r="E189" s="3" t="s">
        <v>12</v>
      </c>
      <c r="F189" s="3" t="s">
        <v>13</v>
      </c>
      <c r="G189" s="3" t="s">
        <v>14</v>
      </c>
      <c r="H189" s="3" t="s">
        <v>15</v>
      </c>
      <c r="I189" s="3" t="s">
        <v>16</v>
      </c>
      <c r="J189" s="3" t="s">
        <v>17</v>
      </c>
      <c r="K189" s="3" t="s">
        <v>18</v>
      </c>
      <c r="L189" s="3" t="s">
        <v>19</v>
      </c>
      <c r="M189" s="77" t="s">
        <v>20</v>
      </c>
      <c r="N189" s="3" t="s">
        <v>21</v>
      </c>
      <c r="O189" s="3" t="s">
        <v>22</v>
      </c>
      <c r="P189" s="3" t="s">
        <v>23</v>
      </c>
      <c r="Q189" s="3" t="s">
        <v>24</v>
      </c>
    </row>
    <row r="190" spans="2:19" x14ac:dyDescent="0.2">
      <c r="B190" s="10" t="s">
        <v>100</v>
      </c>
      <c r="C190" s="10"/>
      <c r="D190" s="10"/>
      <c r="E190" s="243">
        <f>Baseline!E23</f>
        <v>0</v>
      </c>
      <c r="F190" s="49">
        <f>Baseline!F23</f>
        <v>0</v>
      </c>
      <c r="G190" s="49">
        <f>Baseline!G23</f>
        <v>0</v>
      </c>
      <c r="H190" s="49">
        <f>Baseline!H23</f>
        <v>0</v>
      </c>
      <c r="I190" s="49">
        <f>Baseline!I23</f>
        <v>0</v>
      </c>
      <c r="J190" s="49">
        <f>Baseline!J23</f>
        <v>7.33088138557179E-2</v>
      </c>
      <c r="K190" s="49">
        <f>Baseline!K23</f>
        <v>0.12424406333115881</v>
      </c>
      <c r="L190" s="49">
        <f>Baseline!L23</f>
        <v>0.12290987737497053</v>
      </c>
      <c r="M190" s="94">
        <f>Baseline!M23</f>
        <v>0.11643109887944895</v>
      </c>
      <c r="N190" s="49">
        <f>Baseline!N23</f>
        <v>0.11541171638866259</v>
      </c>
      <c r="O190" s="49">
        <f>Baseline!O23</f>
        <v>0.11443097571226979</v>
      </c>
      <c r="P190" s="49">
        <f>Baseline!P23</f>
        <v>0.11886552423393439</v>
      </c>
      <c r="Q190" s="50">
        <f>Baseline!Q23</f>
        <v>0.11155667804596497</v>
      </c>
      <c r="S190" s="167"/>
    </row>
    <row r="191" spans="2:19" x14ac:dyDescent="0.2">
      <c r="B191" s="10" t="s">
        <v>101</v>
      </c>
      <c r="C191" s="10"/>
      <c r="D191" s="10"/>
      <c r="E191" s="244">
        <f t="shared" ref="E191:I191" si="51">(E135-E141)/(E136-E142)</f>
        <v>0</v>
      </c>
      <c r="F191" s="51">
        <f t="shared" si="51"/>
        <v>0</v>
      </c>
      <c r="G191" s="51">
        <f t="shared" si="51"/>
        <v>0</v>
      </c>
      <c r="H191" s="51">
        <f t="shared" si="51"/>
        <v>0</v>
      </c>
      <c r="I191" s="51">
        <f t="shared" si="51"/>
        <v>0</v>
      </c>
      <c r="J191" s="51">
        <f>(J135-J141)/(J136-J142)</f>
        <v>7.33088138557179E-2</v>
      </c>
      <c r="K191" s="51">
        <f t="shared" ref="K191:Q191" si="52">(K135-K141)/(K136-K142)</f>
        <v>0.12424406333115881</v>
      </c>
      <c r="L191" s="51">
        <f t="shared" si="52"/>
        <v>0.12290987737497053</v>
      </c>
      <c r="M191" s="95">
        <f t="shared" si="52"/>
        <v>0.11643109887944895</v>
      </c>
      <c r="N191" s="51">
        <f t="shared" si="52"/>
        <v>0.11541171638866259</v>
      </c>
      <c r="O191" s="51">
        <f t="shared" si="52"/>
        <v>0.11420282040867981</v>
      </c>
      <c r="P191" s="51">
        <f t="shared" si="52"/>
        <v>0.11886552423393439</v>
      </c>
      <c r="Q191" s="52">
        <f t="shared" si="52"/>
        <v>0.11155667804596497</v>
      </c>
    </row>
    <row r="192" spans="2:19" x14ac:dyDescent="0.2">
      <c r="B192" s="10" t="s">
        <v>87</v>
      </c>
      <c r="C192" s="10"/>
      <c r="D192" s="10"/>
      <c r="E192" s="53">
        <f t="shared" ref="E192:I192" si="53">E191-E190</f>
        <v>0</v>
      </c>
      <c r="F192" s="54">
        <f t="shared" si="53"/>
        <v>0</v>
      </c>
      <c r="G192" s="54">
        <f t="shared" si="53"/>
        <v>0</v>
      </c>
      <c r="H192" s="54">
        <f t="shared" si="53"/>
        <v>0</v>
      </c>
      <c r="I192" s="54">
        <f t="shared" si="53"/>
        <v>0</v>
      </c>
      <c r="J192" s="54">
        <f>J191-J190</f>
        <v>0</v>
      </c>
      <c r="K192" s="54">
        <f t="shared" ref="K192:Q192" si="54">K191-K190</f>
        <v>0</v>
      </c>
      <c r="L192" s="54">
        <f t="shared" si="54"/>
        <v>0</v>
      </c>
      <c r="M192" s="93">
        <f t="shared" si="54"/>
        <v>0</v>
      </c>
      <c r="N192" s="54">
        <f t="shared" si="54"/>
        <v>0</v>
      </c>
      <c r="O192" s="54">
        <f t="shared" si="54"/>
        <v>-2.2815530358998026E-4</v>
      </c>
      <c r="P192" s="54">
        <f t="shared" si="54"/>
        <v>0</v>
      </c>
      <c r="Q192" s="55">
        <f t="shared" si="54"/>
        <v>0</v>
      </c>
    </row>
  </sheetData>
  <conditionalFormatting sqref="E64:Q6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Assumptions</vt:lpstr>
      <vt:lpstr>Baseline</vt:lpstr>
      <vt:lpstr>Adjustments</vt:lpstr>
      <vt:lpstr>Volume adjust</vt:lpstr>
      <vt:lpstr>Rev cap adjust</vt:lpstr>
      <vt:lpstr>Combined adjustment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 McComish</dc:creator>
  <cp:lastModifiedBy>manish01aug</cp:lastModifiedBy>
  <dcterms:created xsi:type="dcterms:W3CDTF">2014-07-11T23:41:26Z</dcterms:created>
  <dcterms:modified xsi:type="dcterms:W3CDTF">2017-08-10T05:09:16Z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